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9320" windowHeight="9855"/>
  </bookViews>
  <sheets>
    <sheet name="СПбКТ" sheetId="1" r:id="rId1"/>
    <sheet name="СПбГУТ " sheetId="6" r:id="rId2"/>
    <sheet name="ВК" sheetId="7" r:id="rId3"/>
    <sheet name="АКТ" sheetId="4" r:id="rId4"/>
    <sheet name="СКТ" sheetId="5" r:id="rId5"/>
  </sheets>
  <definedNames>
    <definedName name="_ftn1" localSheetId="2">ВК!#REF!</definedName>
    <definedName name="_ftnref1" localSheetId="2">ВК!#REF!</definedName>
    <definedName name="_xlnm.Print_Titles" localSheetId="3">АКТ!$A:$J,АКТ!$211:$213</definedName>
    <definedName name="_xlnm.Print_Titles" localSheetId="4">СКТ!$A:$J,СКТ!$4:$6</definedName>
    <definedName name="_xlnm.Print_Titles" localSheetId="1">'СПбГУТ '!$A:$J,'СПбГУТ '!$56:$56</definedName>
    <definedName name="_xlnm.Print_Titles" localSheetId="0">СПбКТ!$A:$J,СПбКТ!$13:$15</definedName>
    <definedName name="_xlnm.Print_Area" localSheetId="3">АКТ!$A$209:$J$240</definedName>
    <definedName name="_xlnm.Print_Area" localSheetId="2">ВК!$A$1:$J$22</definedName>
    <definedName name="_xlnm.Print_Area" localSheetId="4">СКТ!$A$2:$J$30</definedName>
    <definedName name="_xlnm.Print_Area" localSheetId="1">'СПбГУТ '!$A$36:$J$260</definedName>
    <definedName name="_xlnm.Print_Area" localSheetId="0">СПбКТ!$A$1:$J$165</definedName>
  </definedNames>
  <calcPr calcId="145621"/>
</workbook>
</file>

<file path=xl/calcChain.xml><?xml version="1.0" encoding="utf-8"?>
<calcChain xmlns="http://schemas.openxmlformats.org/spreadsheetml/2006/main">
  <c r="H50" i="1" l="1"/>
  <c r="H40" i="1"/>
  <c r="F40" i="1"/>
  <c r="E106" i="6" l="1"/>
  <c r="E168" i="6" l="1"/>
  <c r="E172" i="6"/>
  <c r="F20" i="6" l="1"/>
  <c r="F20" i="7"/>
  <c r="F20" i="4"/>
  <c r="F20" i="1"/>
  <c r="F18" i="6"/>
  <c r="F18" i="4"/>
  <c r="F18" i="1"/>
  <c r="E22" i="7"/>
  <c r="E21" i="7"/>
  <c r="E20" i="7"/>
  <c r="E19" i="7"/>
  <c r="E17" i="7"/>
  <c r="E16" i="7"/>
  <c r="E15" i="7"/>
  <c r="F15" i="7" s="1"/>
  <c r="E9" i="7"/>
  <c r="E10" i="7"/>
  <c r="E11" i="7"/>
  <c r="E12" i="7"/>
  <c r="E13" i="7"/>
  <c r="E8" i="7"/>
  <c r="F22" i="7"/>
  <c r="F21" i="7"/>
  <c r="F19" i="7"/>
  <c r="F17" i="7"/>
  <c r="F16" i="7"/>
  <c r="F13" i="7"/>
  <c r="F12" i="7"/>
  <c r="F11" i="7"/>
  <c r="F10" i="7"/>
  <c r="F9" i="7"/>
  <c r="F8" i="7"/>
  <c r="M224" i="4" l="1"/>
  <c r="N224" i="4"/>
  <c r="L224" i="4"/>
  <c r="M215" i="4"/>
  <c r="N215" i="4"/>
  <c r="O215" i="4"/>
  <c r="L215" i="4"/>
  <c r="E260" i="6" l="1"/>
  <c r="E259" i="6"/>
  <c r="E258" i="6"/>
  <c r="E257" i="6"/>
  <c r="E256" i="6"/>
  <c r="E255" i="6"/>
  <c r="E194" i="6"/>
  <c r="E193" i="6"/>
  <c r="E192" i="6"/>
  <c r="E191" i="6"/>
  <c r="E190" i="6"/>
  <c r="E189" i="6"/>
  <c r="E188" i="6"/>
  <c r="E187" i="6"/>
  <c r="E186" i="6"/>
  <c r="E185" i="6"/>
  <c r="F260" i="6"/>
  <c r="F259" i="6"/>
  <c r="F258" i="6"/>
  <c r="F257" i="6"/>
  <c r="F256" i="6"/>
  <c r="F255" i="6"/>
  <c r="F194" i="6"/>
  <c r="F193" i="6"/>
  <c r="F192" i="6"/>
  <c r="F191" i="6"/>
  <c r="F190" i="6"/>
  <c r="F189" i="6"/>
  <c r="F188" i="6"/>
  <c r="F187" i="6"/>
  <c r="F186" i="6"/>
  <c r="F185" i="6"/>
  <c r="G182" i="6"/>
  <c r="G184" i="6"/>
  <c r="G180" i="6"/>
  <c r="F176" i="6"/>
  <c r="G176" i="6" s="1"/>
  <c r="G178" i="6"/>
  <c r="E173" i="6"/>
  <c r="E171" i="6"/>
  <c r="E169" i="6"/>
  <c r="E167" i="6"/>
  <c r="E166" i="6"/>
  <c r="E165" i="6"/>
  <c r="E162" i="6"/>
  <c r="E161" i="6"/>
  <c r="E160" i="6"/>
  <c r="E159" i="6"/>
  <c r="E145" i="6"/>
  <c r="F145" i="6"/>
  <c r="G145" i="6"/>
  <c r="H145" i="6"/>
  <c r="E115" i="6"/>
  <c r="F115" i="6"/>
  <c r="E114" i="6"/>
  <c r="F114" i="6"/>
  <c r="G114" i="6"/>
  <c r="G112" i="6"/>
  <c r="H112" i="6"/>
  <c r="G111" i="6"/>
  <c r="E111" i="6"/>
  <c r="F110" i="6"/>
  <c r="G110" i="6"/>
  <c r="H110" i="6"/>
  <c r="E108" i="6"/>
  <c r="F108" i="6"/>
  <c r="G108" i="6"/>
  <c r="E107" i="6"/>
  <c r="F107" i="6"/>
  <c r="G107" i="6"/>
  <c r="F106" i="6"/>
  <c r="G106" i="6"/>
  <c r="E105" i="6"/>
  <c r="F105" i="6"/>
  <c r="G105" i="6"/>
  <c r="G103" i="6"/>
  <c r="H103" i="6"/>
  <c r="E102" i="6"/>
  <c r="F102" i="6"/>
  <c r="G102" i="6"/>
  <c r="H102" i="6"/>
  <c r="E100" i="6"/>
  <c r="F100" i="6"/>
  <c r="E99" i="6"/>
  <c r="F99" i="6"/>
  <c r="G99" i="6"/>
  <c r="E98" i="6"/>
  <c r="F98" i="6"/>
  <c r="G98" i="6"/>
  <c r="E95" i="6" l="1"/>
  <c r="E94" i="6"/>
  <c r="F96" i="6"/>
  <c r="G96" i="6"/>
  <c r="E91" i="6"/>
  <c r="G91" i="6"/>
  <c r="H91" i="6"/>
  <c r="E89" i="6"/>
  <c r="F89" i="6"/>
  <c r="G89" i="6"/>
  <c r="E88" i="6"/>
  <c r="F88" i="6"/>
  <c r="G88" i="6"/>
  <c r="E87" i="6"/>
  <c r="F87" i="6"/>
  <c r="G87" i="6"/>
  <c r="E84" i="6"/>
  <c r="F84" i="6"/>
  <c r="G84" i="6"/>
  <c r="E83" i="6"/>
  <c r="F83" i="6"/>
  <c r="G83" i="6"/>
  <c r="E82" i="6"/>
  <c r="F82" i="6"/>
  <c r="G82" i="6"/>
  <c r="E81" i="6"/>
  <c r="F81" i="6"/>
  <c r="G81" i="6"/>
  <c r="E80" i="6"/>
  <c r="F80" i="6"/>
  <c r="G80" i="6"/>
  <c r="E79" i="6"/>
  <c r="F79" i="6"/>
  <c r="G79" i="6"/>
  <c r="E78" i="6"/>
  <c r="F78" i="6"/>
  <c r="E77" i="6"/>
  <c r="F77" i="6"/>
  <c r="G77" i="6"/>
  <c r="E71" i="6"/>
  <c r="F69" i="6"/>
  <c r="G69" i="6"/>
  <c r="E70" i="6"/>
  <c r="F70" i="6"/>
  <c r="E68" i="6"/>
  <c r="F68" i="6"/>
  <c r="G68" i="6"/>
  <c r="E67" i="6"/>
  <c r="F67" i="6"/>
  <c r="G67" i="6"/>
  <c r="E64" i="6"/>
  <c r="F64" i="6"/>
  <c r="G64" i="6"/>
  <c r="E61" i="6"/>
  <c r="E63" i="6"/>
  <c r="F63" i="6"/>
  <c r="E60" i="6"/>
  <c r="F60" i="6"/>
  <c r="F59" i="6"/>
  <c r="G60" i="6"/>
  <c r="E59" i="6"/>
  <c r="G59" i="6"/>
  <c r="G50" i="1"/>
  <c r="G48" i="1"/>
  <c r="G46" i="1"/>
  <c r="G45" i="1"/>
  <c r="G44" i="1"/>
  <c r="G43" i="1"/>
  <c r="G41" i="1"/>
  <c r="E41" i="1"/>
  <c r="G40" i="1"/>
  <c r="E40" i="1"/>
  <c r="G38" i="1"/>
  <c r="E38" i="1"/>
  <c r="G37" i="1"/>
  <c r="G35" i="1"/>
  <c r="E35" i="1"/>
  <c r="F33" i="1"/>
  <c r="E32" i="1"/>
  <c r="H32" i="1"/>
  <c r="F32" i="1"/>
  <c r="E30" i="1"/>
  <c r="F30" i="1"/>
  <c r="G30" i="1"/>
  <c r="E28" i="1"/>
  <c r="F28" i="1"/>
  <c r="G28" i="1"/>
  <c r="F27" i="1"/>
  <c r="G27" i="1"/>
  <c r="F26" i="1"/>
  <c r="E24" i="1"/>
  <c r="F24" i="1"/>
  <c r="G24" i="1"/>
  <c r="E23" i="1"/>
  <c r="F23" i="1"/>
  <c r="G23" i="1"/>
  <c r="H23" i="1"/>
  <c r="E21" i="1"/>
  <c r="F21" i="1"/>
  <c r="G21" i="1"/>
  <c r="F19" i="1"/>
  <c r="E18" i="1"/>
  <c r="G75" i="6" l="1"/>
  <c r="F254" i="6" l="1"/>
  <c r="E254" i="6"/>
  <c r="F252" i="6"/>
  <c r="E252" i="6"/>
  <c r="G250" i="6"/>
  <c r="F250" i="6"/>
  <c r="E250" i="6"/>
  <c r="F249" i="6"/>
  <c r="G248" i="6"/>
  <c r="F248" i="6"/>
  <c r="E248" i="6"/>
  <c r="E245" i="6"/>
  <c r="G244" i="6"/>
  <c r="F243" i="6"/>
  <c r="E243" i="6"/>
  <c r="F242" i="6"/>
  <c r="F241" i="6"/>
  <c r="E241" i="6"/>
  <c r="F240" i="6"/>
  <c r="F239" i="6"/>
  <c r="F238" i="6"/>
  <c r="E238" i="6"/>
  <c r="G230" i="6"/>
  <c r="E230" i="6"/>
  <c r="G229" i="6"/>
  <c r="E229" i="6"/>
  <c r="E228" i="6"/>
  <c r="E225" i="6"/>
  <c r="G224" i="6"/>
  <c r="E224" i="6"/>
  <c r="E223" i="6"/>
  <c r="G222" i="6"/>
  <c r="E222" i="6"/>
  <c r="E221" i="6"/>
  <c r="E220" i="6"/>
  <c r="G219" i="6"/>
  <c r="E219" i="6"/>
  <c r="F217" i="6"/>
  <c r="E217" i="6"/>
  <c r="E216" i="6"/>
  <c r="F215" i="6"/>
  <c r="E215" i="6"/>
  <c r="G214" i="6"/>
  <c r="F214" i="6"/>
  <c r="E214" i="6"/>
  <c r="G213" i="6"/>
  <c r="F213" i="6"/>
  <c r="E213" i="6"/>
  <c r="F212" i="6"/>
  <c r="E212" i="6"/>
  <c r="G211" i="6"/>
  <c r="F211" i="6"/>
  <c r="E211" i="6"/>
  <c r="G210" i="6"/>
  <c r="E210" i="6"/>
  <c r="F209" i="6"/>
  <c r="E209" i="6"/>
  <c r="E208" i="6"/>
  <c r="G207" i="6"/>
  <c r="F207" i="6"/>
  <c r="E207" i="6"/>
  <c r="E200" i="6"/>
  <c r="E199" i="6"/>
  <c r="E198" i="6"/>
  <c r="E197" i="6"/>
  <c r="E196" i="6"/>
  <c r="E195" i="6"/>
  <c r="F184" i="6"/>
  <c r="F182" i="6"/>
  <c r="F180" i="6"/>
  <c r="F178" i="6"/>
  <c r="E170" i="6"/>
  <c r="F109" i="6"/>
  <c r="F86" i="6"/>
  <c r="F85" i="6"/>
  <c r="F65" i="6"/>
  <c r="G45" i="6"/>
  <c r="E45" i="6"/>
  <c r="E44" i="6"/>
  <c r="E43" i="6"/>
  <c r="E42" i="6"/>
  <c r="E41" i="6"/>
  <c r="E40" i="6"/>
  <c r="E39" i="6"/>
  <c r="E38" i="6"/>
  <c r="E37" i="6"/>
  <c r="E36" i="6"/>
  <c r="G35" i="6"/>
  <c r="E35" i="6"/>
  <c r="E34" i="6"/>
  <c r="E33" i="6"/>
  <c r="E32" i="6"/>
  <c r="E31" i="6"/>
  <c r="E30" i="6"/>
  <c r="E28" i="6"/>
  <c r="G27" i="6"/>
  <c r="E27" i="6"/>
  <c r="G26" i="6"/>
  <c r="F26" i="6"/>
  <c r="E26" i="6"/>
  <c r="G25" i="6"/>
  <c r="F25" i="6"/>
  <c r="E25" i="6"/>
  <c r="G24" i="6"/>
  <c r="F24" i="6"/>
  <c r="E24" i="6"/>
  <c r="G23" i="6"/>
  <c r="F23" i="6"/>
  <c r="E23" i="6"/>
  <c r="G22" i="6"/>
  <c r="F22" i="6"/>
  <c r="E22" i="6"/>
  <c r="E21" i="6"/>
  <c r="G20" i="6"/>
  <c r="E20" i="6"/>
  <c r="G19" i="6"/>
  <c r="F19" i="6"/>
  <c r="E19" i="6"/>
  <c r="H18" i="6"/>
  <c r="G18" i="6"/>
  <c r="E18" i="6"/>
  <c r="G17" i="6"/>
  <c r="F17" i="6"/>
  <c r="E17" i="6"/>
  <c r="F16" i="6"/>
  <c r="E16" i="6"/>
  <c r="E15" i="6"/>
  <c r="F14" i="6"/>
  <c r="E14" i="6"/>
  <c r="F13" i="6"/>
  <c r="E13" i="6"/>
  <c r="G207" i="4" l="1"/>
  <c r="E207" i="4"/>
  <c r="G206" i="4"/>
  <c r="E206" i="4"/>
  <c r="E205" i="4"/>
  <c r="E202" i="4"/>
  <c r="G201" i="4"/>
  <c r="E201" i="4"/>
  <c r="E200" i="4"/>
  <c r="G199" i="4"/>
  <c r="E199" i="4"/>
  <c r="E198" i="4"/>
  <c r="E197" i="4"/>
  <c r="G196" i="4"/>
  <c r="E196" i="4"/>
  <c r="F194" i="4"/>
  <c r="E194" i="4"/>
  <c r="E193" i="4"/>
  <c r="F192" i="4"/>
  <c r="E192" i="4"/>
  <c r="G191" i="4"/>
  <c r="F191" i="4"/>
  <c r="E191" i="4"/>
  <c r="G190" i="4"/>
  <c r="F190" i="4"/>
  <c r="E190" i="4"/>
  <c r="F189" i="4"/>
  <c r="E189" i="4"/>
  <c r="G188" i="4"/>
  <c r="F188" i="4"/>
  <c r="E188" i="4"/>
  <c r="G187" i="4"/>
  <c r="E187" i="4"/>
  <c r="F186" i="4"/>
  <c r="E186" i="4"/>
  <c r="E185" i="4"/>
  <c r="G184" i="4"/>
  <c r="F184" i="4"/>
  <c r="E184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G161" i="4"/>
  <c r="F161" i="4"/>
  <c r="F160" i="4"/>
  <c r="G159" i="4"/>
  <c r="F159" i="4"/>
  <c r="F158" i="4"/>
  <c r="G157" i="4"/>
  <c r="F157" i="4"/>
  <c r="F156" i="4"/>
  <c r="H155" i="4"/>
  <c r="F155" i="4"/>
  <c r="F154" i="4"/>
  <c r="F153" i="4"/>
  <c r="F152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E144" i="4"/>
  <c r="E143" i="4"/>
  <c r="F142" i="4"/>
  <c r="E142" i="4"/>
  <c r="F141" i="4"/>
  <c r="E141" i="4"/>
  <c r="F140" i="4"/>
  <c r="E140" i="4"/>
  <c r="F139" i="4"/>
  <c r="E139" i="4"/>
  <c r="I136" i="4"/>
  <c r="I135" i="4"/>
  <c r="I128" i="4"/>
  <c r="I127" i="4"/>
  <c r="G125" i="4"/>
  <c r="F125" i="4"/>
  <c r="E125" i="4"/>
  <c r="I121" i="4"/>
  <c r="I120" i="4"/>
  <c r="I119" i="4"/>
  <c r="I117" i="4"/>
  <c r="I112" i="4"/>
  <c r="I111" i="4"/>
  <c r="I110" i="4"/>
  <c r="I102" i="4"/>
  <c r="G95" i="4"/>
  <c r="F95" i="4"/>
  <c r="E95" i="4"/>
  <c r="H93" i="4"/>
  <c r="G93" i="4"/>
  <c r="F93" i="4"/>
  <c r="H92" i="4"/>
  <c r="G92" i="4"/>
  <c r="F92" i="4"/>
  <c r="F91" i="4"/>
  <c r="G90" i="4"/>
  <c r="F90" i="4"/>
  <c r="E90" i="4"/>
  <c r="G89" i="4"/>
  <c r="F89" i="4"/>
  <c r="E89" i="4"/>
  <c r="G88" i="4"/>
  <c r="F88" i="4"/>
  <c r="E88" i="4"/>
  <c r="G87" i="4"/>
  <c r="F87" i="4"/>
  <c r="E87" i="4"/>
  <c r="H85" i="4"/>
  <c r="G85" i="4"/>
  <c r="F85" i="4"/>
  <c r="H84" i="4"/>
  <c r="G84" i="4"/>
  <c r="F84" i="4"/>
  <c r="E84" i="4"/>
  <c r="F82" i="4"/>
  <c r="E82" i="4"/>
  <c r="G81" i="4"/>
  <c r="F81" i="4"/>
  <c r="E81" i="4"/>
  <c r="G80" i="4"/>
  <c r="F80" i="4"/>
  <c r="E80" i="4"/>
  <c r="G78" i="4"/>
  <c r="F78" i="4"/>
  <c r="H76" i="4"/>
  <c r="G76" i="4"/>
  <c r="F76" i="4"/>
  <c r="H75" i="4"/>
  <c r="G75" i="4"/>
  <c r="F75" i="4"/>
  <c r="E74" i="4"/>
  <c r="G72" i="4"/>
  <c r="G71" i="4"/>
  <c r="F71" i="4"/>
  <c r="E71" i="4"/>
  <c r="G70" i="4"/>
  <c r="F70" i="4"/>
  <c r="E70" i="4"/>
  <c r="F69" i="4"/>
  <c r="F68" i="4"/>
  <c r="G67" i="4"/>
  <c r="F67" i="4"/>
  <c r="E67" i="4"/>
  <c r="G66" i="4"/>
  <c r="F66" i="4"/>
  <c r="E66" i="4"/>
  <c r="G65" i="4"/>
  <c r="F65" i="4"/>
  <c r="E65" i="4"/>
  <c r="G64" i="4"/>
  <c r="F64" i="4"/>
  <c r="E64" i="4"/>
  <c r="G63" i="4"/>
  <c r="F63" i="4"/>
  <c r="E63" i="4"/>
  <c r="G62" i="4"/>
  <c r="F62" i="4"/>
  <c r="E62" i="4"/>
  <c r="E61" i="4"/>
  <c r="G60" i="4"/>
  <c r="F60" i="4"/>
  <c r="E60" i="4"/>
  <c r="G58" i="4"/>
  <c r="G56" i="4"/>
  <c r="F56" i="4"/>
  <c r="F54" i="4"/>
  <c r="E53" i="4"/>
  <c r="G52" i="4"/>
  <c r="F52" i="4"/>
  <c r="G51" i="4"/>
  <c r="F51" i="4"/>
  <c r="E51" i="4"/>
  <c r="G50" i="4"/>
  <c r="F50" i="4"/>
  <c r="E50" i="4"/>
  <c r="G48" i="4"/>
  <c r="F48" i="4"/>
  <c r="G47" i="4"/>
  <c r="F47" i="4"/>
  <c r="E47" i="4"/>
  <c r="E46" i="4"/>
  <c r="F44" i="4"/>
  <c r="G43" i="4"/>
  <c r="F43" i="4"/>
  <c r="E43" i="4"/>
  <c r="G42" i="4"/>
  <c r="F42" i="4"/>
  <c r="E42" i="4"/>
  <c r="G38" i="4"/>
  <c r="E38" i="4"/>
  <c r="E37" i="4"/>
  <c r="E36" i="4"/>
  <c r="E35" i="4"/>
  <c r="E34" i="4"/>
  <c r="E33" i="4"/>
  <c r="E32" i="4"/>
  <c r="E31" i="4"/>
  <c r="E30" i="4"/>
  <c r="E29" i="4"/>
  <c r="G28" i="4"/>
  <c r="E28" i="4"/>
  <c r="E27" i="4"/>
  <c r="E26" i="4"/>
  <c r="E25" i="4"/>
  <c r="E24" i="4"/>
  <c r="E23" i="4"/>
  <c r="E21" i="4"/>
  <c r="G20" i="4"/>
  <c r="E20" i="4"/>
  <c r="G19" i="4"/>
  <c r="F19" i="4"/>
  <c r="E19" i="4"/>
  <c r="G18" i="4"/>
  <c r="E18" i="4"/>
  <c r="G17" i="4"/>
  <c r="F17" i="4"/>
  <c r="E17" i="4"/>
  <c r="G16" i="4"/>
  <c r="F16" i="4"/>
  <c r="E16" i="4"/>
  <c r="G15" i="4"/>
  <c r="F15" i="4"/>
  <c r="E15" i="4"/>
  <c r="E14" i="4"/>
  <c r="G13" i="4"/>
  <c r="F13" i="4"/>
  <c r="E13" i="4"/>
  <c r="G12" i="4"/>
  <c r="F12" i="4"/>
  <c r="E12" i="4"/>
  <c r="H11" i="4"/>
  <c r="G11" i="4"/>
  <c r="F11" i="4"/>
  <c r="E11" i="4"/>
  <c r="G10" i="4"/>
  <c r="F10" i="4"/>
  <c r="E10" i="4"/>
  <c r="F9" i="4"/>
  <c r="E9" i="4"/>
  <c r="E8" i="4"/>
  <c r="F7" i="4"/>
  <c r="E7" i="4"/>
  <c r="F6" i="4"/>
  <c r="E6" i="4"/>
  <c r="F36" i="1" l="1"/>
  <c r="E19" i="1" l="1"/>
  <c r="E247" i="1" l="1"/>
  <c r="E233" i="1"/>
  <c r="E209" i="1"/>
  <c r="E208" i="1"/>
  <c r="E207" i="1"/>
  <c r="F205" i="1"/>
  <c r="E205" i="1"/>
  <c r="F199" i="1"/>
  <c r="E189" i="1"/>
  <c r="E188" i="1"/>
  <c r="E187" i="1"/>
  <c r="E186" i="1"/>
  <c r="E185" i="1"/>
  <c r="E184" i="1"/>
  <c r="E182" i="1"/>
  <c r="E180" i="1"/>
  <c r="E178" i="1"/>
  <c r="E177" i="1"/>
  <c r="E175" i="1"/>
  <c r="E183" i="1"/>
  <c r="E181" i="1"/>
  <c r="E179" i="1"/>
  <c r="E176" i="1"/>
  <c r="E174" i="1"/>
  <c r="G169" i="1"/>
  <c r="E155" i="1"/>
  <c r="F154" i="1"/>
  <c r="E154" i="1"/>
  <c r="E156" i="1"/>
  <c r="G137" i="1"/>
  <c r="F137" i="1"/>
  <c r="I132" i="1"/>
  <c r="F103" i="1"/>
  <c r="F102" i="1"/>
  <c r="H96" i="1"/>
  <c r="E86" i="1"/>
  <c r="F81" i="1"/>
  <c r="F80" i="1"/>
  <c r="E65" i="1"/>
  <c r="E73" i="1"/>
  <c r="E58" i="1"/>
  <c r="G232" i="1" l="1"/>
  <c r="G246" i="1"/>
  <c r="F246" i="1"/>
  <c r="F243" i="1"/>
  <c r="F242" i="1"/>
  <c r="F240" i="1"/>
  <c r="G238" i="1"/>
  <c r="F238" i="1"/>
  <c r="F237" i="1"/>
  <c r="G236" i="1"/>
  <c r="F236" i="1"/>
  <c r="F231" i="1"/>
  <c r="F230" i="1"/>
  <c r="F229" i="1"/>
  <c r="F228" i="1"/>
  <c r="F227" i="1"/>
  <c r="F226" i="1"/>
  <c r="G218" i="1"/>
  <c r="G217" i="1"/>
  <c r="G212" i="1"/>
  <c r="G210" i="1"/>
  <c r="G207" i="1"/>
  <c r="F203" i="1"/>
  <c r="G202" i="1"/>
  <c r="F202" i="1"/>
  <c r="F201" i="1"/>
  <c r="G201" i="1"/>
  <c r="F200" i="1"/>
  <c r="G199" i="1"/>
  <c r="G198" i="1"/>
  <c r="F197" i="1"/>
  <c r="G195" i="1"/>
  <c r="F195" i="1"/>
  <c r="E246" i="1"/>
  <c r="E245" i="1"/>
  <c r="E242" i="1"/>
  <c r="E240" i="1"/>
  <c r="E238" i="1"/>
  <c r="E236" i="1"/>
  <c r="E231" i="1"/>
  <c r="E229" i="1"/>
  <c r="E226" i="1"/>
  <c r="E218" i="1"/>
  <c r="E216" i="1"/>
  <c r="E217" i="1"/>
  <c r="E212" i="1"/>
  <c r="E213" i="1"/>
  <c r="E211" i="1"/>
  <c r="E210" i="1"/>
  <c r="E203" i="1"/>
  <c r="E204" i="1"/>
  <c r="E202" i="1"/>
  <c r="E201" i="1"/>
  <c r="E200" i="1"/>
  <c r="E199" i="1"/>
  <c r="E198" i="1"/>
  <c r="E197" i="1"/>
  <c r="E196" i="1"/>
  <c r="E195" i="1"/>
  <c r="E162" i="1"/>
  <c r="E161" i="1"/>
  <c r="E160" i="1"/>
  <c r="E159" i="1"/>
  <c r="E158" i="1"/>
  <c r="E157" i="1"/>
  <c r="E153" i="1"/>
  <c r="E151" i="1"/>
  <c r="E152" i="1"/>
  <c r="F164" i="1" l="1"/>
  <c r="F165" i="1"/>
  <c r="F166" i="1"/>
  <c r="F167" i="1"/>
  <c r="H167" i="1"/>
  <c r="F168" i="1"/>
  <c r="F169" i="1"/>
  <c r="F170" i="1"/>
  <c r="F171" i="1"/>
  <c r="G171" i="1"/>
  <c r="F172" i="1"/>
  <c r="F173" i="1"/>
  <c r="G173" i="1"/>
  <c r="F162" i="1"/>
  <c r="F160" i="1"/>
  <c r="F153" i="1"/>
  <c r="F161" i="1"/>
  <c r="F159" i="1"/>
  <c r="F158" i="1"/>
  <c r="F157" i="1"/>
  <c r="F152" i="1"/>
  <c r="F151" i="1"/>
  <c r="I148" i="1"/>
  <c r="I147" i="1"/>
  <c r="I140" i="1"/>
  <c r="I139" i="1"/>
  <c r="I133" i="1"/>
  <c r="I131" i="1"/>
  <c r="I129" i="1"/>
  <c r="I124" i="1"/>
  <c r="I123" i="1"/>
  <c r="I122" i="1"/>
  <c r="I114" i="1"/>
  <c r="H105" i="1"/>
  <c r="G105" i="1"/>
  <c r="F105" i="1"/>
  <c r="H104" i="1"/>
  <c r="G104" i="1"/>
  <c r="F104" i="1"/>
  <c r="G102" i="1"/>
  <c r="G101" i="1"/>
  <c r="F101" i="1"/>
  <c r="G107" i="1"/>
  <c r="F107" i="1"/>
  <c r="G100" i="1"/>
  <c r="F100" i="1"/>
  <c r="G99" i="1"/>
  <c r="F99" i="1"/>
  <c r="H97" i="1"/>
  <c r="G97" i="1"/>
  <c r="F97" i="1"/>
  <c r="G96" i="1"/>
  <c r="F96" i="1"/>
  <c r="F94" i="1"/>
  <c r="G93" i="1"/>
  <c r="F93" i="1"/>
  <c r="G92" i="1"/>
  <c r="F92" i="1"/>
  <c r="G90" i="1"/>
  <c r="F90" i="1"/>
  <c r="H88" i="1"/>
  <c r="G88" i="1"/>
  <c r="F88" i="1"/>
  <c r="H87" i="1"/>
  <c r="G87" i="1"/>
  <c r="F87" i="1"/>
  <c r="G84" i="1"/>
  <c r="G83" i="1"/>
  <c r="F83" i="1"/>
  <c r="G82" i="1"/>
  <c r="F82" i="1"/>
  <c r="F79" i="1"/>
  <c r="G79" i="1"/>
  <c r="G78" i="1"/>
  <c r="F78" i="1"/>
  <c r="G77" i="1"/>
  <c r="F77" i="1"/>
  <c r="G76" i="1"/>
  <c r="F76" i="1"/>
  <c r="G75" i="1"/>
  <c r="F75" i="1"/>
  <c r="G74" i="1"/>
  <c r="F74" i="1"/>
  <c r="G72" i="1"/>
  <c r="F72" i="1"/>
  <c r="G70" i="1"/>
  <c r="G68" i="1"/>
  <c r="F68" i="1"/>
  <c r="F66" i="1"/>
  <c r="G64" i="1"/>
  <c r="F64" i="1"/>
  <c r="G63" i="1"/>
  <c r="F63" i="1"/>
  <c r="G62" i="1"/>
  <c r="F62" i="1"/>
  <c r="G60" i="1"/>
  <c r="F60" i="1"/>
  <c r="G59" i="1"/>
  <c r="F59" i="1"/>
  <c r="F56" i="1"/>
  <c r="G55" i="1"/>
  <c r="F55" i="1"/>
  <c r="G54" i="1"/>
  <c r="F54" i="1"/>
  <c r="E137" i="1"/>
  <c r="E107" i="1"/>
  <c r="E102" i="1"/>
  <c r="E101" i="1"/>
  <c r="E100" i="1"/>
  <c r="E99" i="1"/>
  <c r="E96" i="1"/>
  <c r="E94" i="1"/>
  <c r="E93" i="1"/>
  <c r="E92" i="1"/>
  <c r="E83" i="1"/>
  <c r="E82" i="1"/>
  <c r="E79" i="1"/>
  <c r="E78" i="1"/>
  <c r="E77" i="1"/>
  <c r="E76" i="1"/>
  <c r="E75" i="1"/>
  <c r="E74" i="1"/>
  <c r="E72" i="1"/>
  <c r="E63" i="1"/>
  <c r="E62" i="1"/>
  <c r="E59" i="1"/>
  <c r="E55" i="1"/>
  <c r="E54" i="1"/>
  <c r="G32" i="1"/>
  <c r="E20" i="1"/>
</calcChain>
</file>

<file path=xl/sharedStrings.xml><?xml version="1.0" encoding="utf-8"?>
<sst xmlns="http://schemas.openxmlformats.org/spreadsheetml/2006/main" count="2576" uniqueCount="279">
  <si>
    <t>Место оказания услуги: Санкт-Петербург</t>
  </si>
  <si>
    <t>Уровень образовательной программы. Специальность (направление подготовки)</t>
  </si>
  <si>
    <t>Форма обучения</t>
  </si>
  <si>
    <t>Срок освоения программы (продолжительность обучения)</t>
  </si>
  <si>
    <t>Стоимость за семестр для обучающихся на курсе (тыс. руб.)</t>
  </si>
  <si>
    <t>Факультет (подразделение)</t>
  </si>
  <si>
    <t xml:space="preserve">код </t>
  </si>
  <si>
    <t xml:space="preserve">наименование </t>
  </si>
  <si>
    <t>2 курс</t>
  </si>
  <si>
    <t>3 курс</t>
  </si>
  <si>
    <t>4 курс</t>
  </si>
  <si>
    <t>5 курс</t>
  </si>
  <si>
    <t>6 курс</t>
  </si>
  <si>
    <t>1.1.1.</t>
  </si>
  <si>
    <t>Программы на базе основного общего образования</t>
  </si>
  <si>
    <t>СПбКТ</t>
  </si>
  <si>
    <t>1.1.2.</t>
  </si>
  <si>
    <t>Программы на базе среднего общего образования</t>
  </si>
  <si>
    <t>38.02.03</t>
  </si>
  <si>
    <t>Операционная деятельность в логистике</t>
  </si>
  <si>
    <t>2г.10м.</t>
  </si>
  <si>
    <t>-</t>
  </si>
  <si>
    <t>Очная</t>
  </si>
  <si>
    <t>2г.10м.
инд.уч.план</t>
  </si>
  <si>
    <t>11.02.08</t>
  </si>
  <si>
    <t>Средства связи
 с подвижными 
объектами</t>
  </si>
  <si>
    <t>3г.6м.</t>
  </si>
  <si>
    <t>11.02.09</t>
  </si>
  <si>
    <t>Многоканальные
телекоммуникационные
системы</t>
  </si>
  <si>
    <t>3г.6м.
инд.уч.план</t>
  </si>
  <si>
    <t>4г.6м.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</si>
  <si>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</si>
  <si>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</si>
  <si>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</si>
  <si>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</si>
  <si>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11.02.12</t>
  </si>
  <si>
    <t>Почтовая связь</t>
  </si>
  <si>
    <t>Заочная</t>
  </si>
  <si>
    <t>3г.10м.</t>
  </si>
  <si>
    <t>09.02.02</t>
  </si>
  <si>
    <t>Компьютерные сети</t>
  </si>
  <si>
    <t>3г.10м.
инд.уч.план</t>
  </si>
  <si>
    <t>09.02.03</t>
  </si>
  <si>
    <t>Программирование в компьютерных системах</t>
  </si>
  <si>
    <t>4г.10м.</t>
  </si>
  <si>
    <t>09.02.05</t>
  </si>
  <si>
    <t>Прикладная информатика
(по отраслям)</t>
  </si>
  <si>
    <t>1г.10м.</t>
  </si>
  <si>
    <t>1г.10м.
инд.уч.план</t>
  </si>
  <si>
    <t>2г.6м.</t>
  </si>
  <si>
    <t>2г.6м.
инд.уч.план</t>
  </si>
  <si>
    <t>Место оказания услуги: г.Смоленск</t>
  </si>
  <si>
    <t>Многоканальные телекоммуникационные системы</t>
  </si>
  <si>
    <t>очная</t>
  </si>
  <si>
    <t>СКТ(ф)СПбГУТ</t>
  </si>
  <si>
    <t>заочная</t>
  </si>
  <si>
    <t>Средства связи с подвижными объектами</t>
  </si>
  <si>
    <t>Информационная безопасность телекоммуникационных систем</t>
  </si>
  <si>
    <t>Прикладная информатика</t>
  </si>
  <si>
    <t>АКТ(ф)СПбГУТ</t>
  </si>
  <si>
    <t>Место оказания услуги: г. Архангельск</t>
  </si>
  <si>
    <t>10.02.02</t>
  </si>
  <si>
    <t>Программы бакалавриата</t>
  </si>
  <si>
    <t>05.03.06</t>
  </si>
  <si>
    <t>Экология и природопользование</t>
  </si>
  <si>
    <t>4 г.</t>
  </si>
  <si>
    <t>ИВО</t>
  </si>
  <si>
    <t>42.03.01</t>
  </si>
  <si>
    <t>Реклама и связи с общественностью</t>
  </si>
  <si>
    <t xml:space="preserve">3 г. </t>
  </si>
  <si>
    <t>ГФ</t>
  </si>
  <si>
    <t>ускоренное обучение</t>
  </si>
  <si>
    <t>41.03.01</t>
  </si>
  <si>
    <t>Зарубежное регионоведение. Европейские исследования</t>
  </si>
  <si>
    <t>Зарубежное регионоведение. Международное сотрудничество и индустрия деловых встреч</t>
  </si>
  <si>
    <t>38.03.02</t>
  </si>
  <si>
    <t>Менеджмент</t>
  </si>
  <si>
    <t>ЭиУ</t>
  </si>
  <si>
    <t>очно-заочная</t>
  </si>
  <si>
    <t>5 л.</t>
  </si>
  <si>
    <t>3 г.6 м. ускоренное обучение</t>
  </si>
  <si>
    <t>второе высшее</t>
  </si>
  <si>
    <t xml:space="preserve">3 г.2 м. </t>
  </si>
  <si>
    <t>второе высшее параллельное обучение</t>
  </si>
  <si>
    <t>очно-заочная (выходного дня)</t>
  </si>
  <si>
    <t>3 г.10 м. ускоренное обучение</t>
  </si>
  <si>
    <t>ВИЗО</t>
  </si>
  <si>
    <t>38.03.05</t>
  </si>
  <si>
    <t>Бизнес-информатика</t>
  </si>
  <si>
    <t>10.03.01</t>
  </si>
  <si>
    <t>Информационная безопасность</t>
  </si>
  <si>
    <t>ИКСС</t>
  </si>
  <si>
    <t>43.03.01</t>
  </si>
  <si>
    <t>Сервис</t>
  </si>
  <si>
    <t>12.03.03</t>
  </si>
  <si>
    <t>Фотоника и оптоинформатика</t>
  </si>
  <si>
    <t>12.03.04</t>
  </si>
  <si>
    <t>Биотехнические системы и технологии</t>
  </si>
  <si>
    <t>РТС</t>
  </si>
  <si>
    <t>11.03.04</t>
  </si>
  <si>
    <t>Электроника и наноэлектроника</t>
  </si>
  <si>
    <t>ФП</t>
  </si>
  <si>
    <t>3 г.</t>
  </si>
  <si>
    <t>11.03.01</t>
  </si>
  <si>
    <t>11.03.02</t>
  </si>
  <si>
    <t>Инфокоммуникационные технологии и системы связи</t>
  </si>
  <si>
    <t>РТС, ИКСС</t>
  </si>
  <si>
    <t xml:space="preserve">5 л.  </t>
  </si>
  <si>
    <t xml:space="preserve"> ускоренное обучение</t>
  </si>
  <si>
    <t>11.03.03</t>
  </si>
  <si>
    <t>Конструирование и технология электронных средств</t>
  </si>
  <si>
    <t>15.03.04</t>
  </si>
  <si>
    <t>Автоматизация  технологических процессов  и производств</t>
  </si>
  <si>
    <t>ИСиТ</t>
  </si>
  <si>
    <t>27.03.01</t>
  </si>
  <si>
    <t>Стандартизация и метрология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</si>
  <si>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</si>
  <si>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</si>
  <si>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</si>
  <si>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</si>
  <si>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 xml:space="preserve">5 л. </t>
  </si>
  <si>
    <t>09.03.04</t>
  </si>
  <si>
    <t>Программная инженерия</t>
  </si>
  <si>
    <t>Программы специалитета</t>
  </si>
  <si>
    <t>030602</t>
  </si>
  <si>
    <t>Связи с общественностью</t>
  </si>
  <si>
    <t>032301</t>
  </si>
  <si>
    <t>Регионоведение</t>
  </si>
  <si>
    <t>080502</t>
  </si>
  <si>
    <t>Экономика и управление на предприятии</t>
  </si>
  <si>
    <t>4 г.2 м.</t>
  </si>
  <si>
    <t>6 л.</t>
  </si>
  <si>
    <t>Проектирование и технология радиоэлектронных средств</t>
  </si>
  <si>
    <t>Радиотехника</t>
  </si>
  <si>
    <t>Аудиовизуальная техника</t>
  </si>
  <si>
    <t>Физика и техника оптической связи</t>
  </si>
  <si>
    <t>Защищенные системы связи</t>
  </si>
  <si>
    <t xml:space="preserve">6 л. </t>
  </si>
  <si>
    <t>4 г.6 м.</t>
  </si>
  <si>
    <t>5л.</t>
  </si>
  <si>
    <t xml:space="preserve">4г.6м. </t>
  </si>
  <si>
    <t>Инфокоммуникационные технологии и системы специальной связи</t>
  </si>
  <si>
    <t>Автоматизация технологических процессов и производств</t>
  </si>
  <si>
    <t>Автоматизированные системы обработки информации и управления</t>
  </si>
  <si>
    <t>Программное обеспечение вычислительной техники и автоматизированных систем</t>
  </si>
  <si>
    <t xml:space="preserve">6 л.  </t>
  </si>
  <si>
    <t>Программы магистратуры</t>
  </si>
  <si>
    <t>41.04.01</t>
  </si>
  <si>
    <t>Зарубежное регионоведение</t>
  </si>
  <si>
    <t>2г.</t>
  </si>
  <si>
    <t>11.04.03</t>
  </si>
  <si>
    <t>Автоматизация  технологических процессов и производств</t>
  </si>
  <si>
    <t>38.04.05</t>
  </si>
  <si>
    <t>210302</t>
  </si>
  <si>
    <t>210402</t>
  </si>
  <si>
    <t>210404</t>
  </si>
  <si>
    <t>210405</t>
  </si>
  <si>
    <t>210406</t>
  </si>
  <si>
    <t>11.05.04</t>
  </si>
  <si>
    <t>220301</t>
  </si>
  <si>
    <t>230201</t>
  </si>
  <si>
    <t>1.2.</t>
  </si>
  <si>
    <t>1.2.1.</t>
  </si>
  <si>
    <t>Образовательные программы высшего образования</t>
  </si>
  <si>
    <t>1.2.2.</t>
  </si>
  <si>
    <t>1.2.3.</t>
  </si>
  <si>
    <t>1.2.4.</t>
  </si>
  <si>
    <t>Программы подготовки научно-педагогических кадров в аспирантуре по отраслям наук</t>
  </si>
  <si>
    <t>4г.</t>
  </si>
  <si>
    <t>3г.</t>
  </si>
  <si>
    <t>ОАД</t>
  </si>
  <si>
    <t>Физико-математические науки</t>
  </si>
  <si>
    <t>01.00.00</t>
  </si>
  <si>
    <t>Технические науки</t>
  </si>
  <si>
    <t>05.00.00</t>
  </si>
  <si>
    <t>Исторические науки</t>
  </si>
  <si>
    <t>07.00.00</t>
  </si>
  <si>
    <t>Экономические науки</t>
  </si>
  <si>
    <t>08.00.00</t>
  </si>
  <si>
    <t>Политические науки</t>
  </si>
  <si>
    <t>23.00.00</t>
  </si>
  <si>
    <t xml:space="preserve">Стоимость образовательных услуг по основным образовательным программам в сфере высшего и среднего </t>
  </si>
  <si>
    <t xml:space="preserve">профессионального образования для обучающихся на 2 и последующих курсах обучения </t>
  </si>
  <si>
    <t>Приложение 1</t>
  </si>
  <si>
    <t>УТВЕРЖДЕНО</t>
  </si>
  <si>
    <t>приказом от «___»__ 2014 года № ____</t>
  </si>
  <si>
    <t>заочная (индивидуальный учебный план)</t>
  </si>
  <si>
    <t>3 г. 2 м. (индивидуальный учебный план)</t>
  </si>
  <si>
    <t xml:space="preserve">Радиотехника </t>
  </si>
  <si>
    <t>очная (прикладной бакалавриат)</t>
  </si>
  <si>
    <t>индивидуальный учебный план</t>
  </si>
  <si>
    <t>очная (академический бакалавриат)</t>
  </si>
  <si>
    <t>10.04.01</t>
  </si>
  <si>
    <t>42.04.01</t>
  </si>
  <si>
    <t>11.04.02</t>
  </si>
  <si>
    <t>15.04.04</t>
  </si>
  <si>
    <t>09.04.02</t>
  </si>
  <si>
    <t>27.04.01</t>
  </si>
  <si>
    <t>11.04.01</t>
  </si>
  <si>
    <t>Политические науки и регионоведение</t>
  </si>
  <si>
    <t>41.06.01</t>
  </si>
  <si>
    <t>Исторические науки и археология</t>
  </si>
  <si>
    <t>46.06.01</t>
  </si>
  <si>
    <t>38.06.01</t>
  </si>
  <si>
    <t>Экономика</t>
  </si>
  <si>
    <t>01.06.01</t>
  </si>
  <si>
    <t>Математика и механика</t>
  </si>
  <si>
    <t>03.06.01</t>
  </si>
  <si>
    <t>Физика и астрономия</t>
  </si>
  <si>
    <t>09.06.01</t>
  </si>
  <si>
    <t>10.06.01</t>
  </si>
  <si>
    <t>11.06.01</t>
  </si>
  <si>
    <t>Электроника, радиотехника и связь</t>
  </si>
  <si>
    <t>3 г.6 м.</t>
  </si>
  <si>
    <t>3 г.10 м.</t>
  </si>
  <si>
    <t>очная (индивидуальный учебный план)</t>
  </si>
  <si>
    <t>2 г. 6 мес.</t>
  </si>
  <si>
    <t>2 г.10 м.</t>
  </si>
  <si>
    <t>3 г. 6 м.</t>
  </si>
  <si>
    <t>09.02.01</t>
  </si>
  <si>
    <t>Компьютерные системы и комплексы</t>
  </si>
  <si>
    <t>2 г.6 м.</t>
  </si>
  <si>
    <t>2 г. 10 м.</t>
  </si>
  <si>
    <t>27.03.04</t>
  </si>
  <si>
    <t>Управление в технических системах</t>
  </si>
  <si>
    <t xml:space="preserve">заочная </t>
  </si>
  <si>
    <t>4 г. (индивидуальный учебный план)</t>
  </si>
  <si>
    <t>1.1. Образовательные программы среднего профессионального образования</t>
  </si>
  <si>
    <t>Раздел 1. Основные образовательные программы</t>
  </si>
  <si>
    <t>Факультеты СПбГУТ</t>
  </si>
  <si>
    <t>Образовательные программы среднего профессионального образования</t>
  </si>
  <si>
    <t>1.1.</t>
  </si>
  <si>
    <t>Средства связи  с подвижными объектами</t>
  </si>
  <si>
    <t>Средства связи
 с подвижными объектами</t>
  </si>
  <si>
    <t>ВиЗО</t>
  </si>
  <si>
    <t xml:space="preserve">очная </t>
  </si>
  <si>
    <t>5 л.                           для выпускников СПбКТ</t>
  </si>
  <si>
    <t>4 г. одновременное второе ВПО</t>
  </si>
  <si>
    <t xml:space="preserve"> </t>
  </si>
  <si>
    <t>2 г.</t>
  </si>
  <si>
    <t>заочное</t>
  </si>
  <si>
    <t>2,5 г.</t>
  </si>
  <si>
    <t>АКТ (ф) СПбГУТ</t>
  </si>
  <si>
    <t>2 г. 6 м.</t>
  </si>
  <si>
    <t>1 г.10 м.</t>
  </si>
  <si>
    <t>очная (базовая)</t>
  </si>
  <si>
    <t>очная (углубленная подготовка)</t>
  </si>
  <si>
    <t>Раздел. 2 Образовательные программы военной подготовки на Военной кафедре</t>
  </si>
  <si>
    <t>Уровень образовательной программы. 
Специальность (направление подготовки)</t>
  </si>
  <si>
    <t>Срок освоения программы</t>
  </si>
  <si>
    <t>Стоимость, тыс. руб.</t>
  </si>
  <si>
    <t>код</t>
  </si>
  <si>
    <t>наименование</t>
  </si>
  <si>
    <t>(продолжительность обучения)</t>
  </si>
  <si>
    <t>2.1</t>
  </si>
  <si>
    <t>Программы подготовки офицеров запаса</t>
  </si>
  <si>
    <t>Применение подразделений и частей со средствами многоканальной радиорелейной и тропосферной связи</t>
  </si>
  <si>
    <t>Организация фельдъегерско-почтовой связи</t>
  </si>
  <si>
    <t>Применение соединений, воинских частей и подразделений, вооруженных наземными средствами РЭБ с наземными системами управления войсками и оружием</t>
  </si>
  <si>
    <t>Эксплуатация и ремонт наземной аппаратуры многоканальной радиорелейной и тропосферной связи</t>
  </si>
  <si>
    <t>Эксплуатация и ремонт аппаратуры электросвязи</t>
  </si>
  <si>
    <t>Эксплуатация и ремонт наземной аппаратуры спутниковой связи</t>
  </si>
  <si>
    <t>2.2</t>
  </si>
  <si>
    <t>Программы подготовки сержантов запаса</t>
  </si>
  <si>
    <t>Командир отделения радиолокационных станций (комплексов)</t>
  </si>
  <si>
    <t>Начальник радиорелейной станции</t>
  </si>
  <si>
    <t>Начальник экспедиции</t>
  </si>
  <si>
    <t>2.3</t>
  </si>
  <si>
    <t>Программы подготовки солдат запаса</t>
  </si>
  <si>
    <t>Механик дальней связи</t>
  </si>
  <si>
    <t>1 г. 6 м.</t>
  </si>
  <si>
    <t>Механик телеграфной аппаратуры</t>
  </si>
  <si>
    <t>Механик радиосвязи</t>
  </si>
  <si>
    <t>Механик КВ р/ст большой мощности</t>
  </si>
  <si>
    <t>Место оказания услуги: г. Смоленск</t>
  </si>
  <si>
    <t>Стоимость платных образовательным услуг</t>
  </si>
  <si>
    <t>для продолжающих обучение на 2 и последующих курсах граждан РФ, без учета НДС</t>
  </si>
  <si>
    <t>на 2016/2017 учебный год</t>
  </si>
  <si>
    <t>приказом от «26» 05 2016 года №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</si>
</sst>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D4B4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07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2" fillId="6" borderId="12" xfId="0" applyNumberFormat="1" applyFont="1" applyFill="1" applyBorder="1" applyAlignment="1">
      <alignment horizontal="center" vertical="center" wrapText="1"/>
    </xf>
    <xf numFmtId="2" fontId="2" fillId="6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4" fontId="1" fillId="4" borderId="29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4" fontId="1" fillId="0" borderId="5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/>
    <xf numFmtId="4" fontId="2" fillId="2" borderId="1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4" borderId="2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14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2" fillId="8" borderId="12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 wrapText="1"/>
    </xf>
    <xf numFmtId="0" fontId="9" fillId="0" borderId="0" xfId="0" applyFont="1"/>
    <xf numFmtId="4" fontId="1" fillId="7" borderId="5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/>
    <xf numFmtId="0" fontId="10" fillId="5" borderId="0" xfId="0" applyFont="1" applyFill="1"/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5" xfId="0" applyFont="1" applyBorder="1"/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/>
    <xf numFmtId="49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/>
    <xf numFmtId="49" fontId="7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/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" fontId="2" fillId="8" borderId="5" xfId="0" applyNumberFormat="1" applyFont="1" applyFill="1" applyBorder="1" applyAlignment="1">
      <alignment horizontal="center" vertical="center" wrapText="1"/>
    </xf>
    <xf numFmtId="2" fontId="2" fillId="8" borderId="5" xfId="0" applyNumberFormat="1" applyFont="1" applyFill="1" applyBorder="1" applyAlignment="1">
      <alignment horizontal="center" vertical="center" wrapText="1"/>
    </xf>
    <xf numFmtId="4" fontId="8" fillId="8" borderId="5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/>
    <xf numFmtId="2" fontId="1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0" xfId="1"/>
    <xf numFmtId="0" fontId="1" fillId="0" borderId="5" xfId="1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/>
    <xf numFmtId="49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/>
    <xf numFmtId="2" fontId="1" fillId="0" borderId="0" xfId="0" applyNumberFormat="1" applyFont="1" applyBorder="1"/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49" fontId="1" fillId="9" borderId="5" xfId="1" applyNumberFormat="1" applyFont="1" applyFill="1" applyBorder="1" applyAlignment="1">
      <alignment horizontal="center" vertical="center" wrapText="1"/>
    </xf>
    <xf numFmtId="2" fontId="1" fillId="0" borderId="5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6" fillId="0" borderId="0" xfId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right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14" fontId="1" fillId="0" borderId="5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4" fontId="1" fillId="4" borderId="2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11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1" fillId="9" borderId="5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12" fillId="0" borderId="5" xfId="1" applyBorder="1" applyAlignment="1">
      <alignment horizontal="center" vertical="center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1" fillId="9" borderId="9" xfId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49" fontId="8" fillId="8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"/>
  <sheetViews>
    <sheetView tabSelected="1" view="pageBreakPreview" zoomScale="90" zoomScaleNormal="100" zoomScaleSheetLayoutView="90" workbookViewId="0">
      <selection activeCell="J3" sqref="J3"/>
    </sheetView>
  </sheetViews>
  <sheetFormatPr defaultRowHeight="12.75" x14ac:dyDescent="0.2"/>
  <cols>
    <col min="1" max="1" width="9" style="1" customWidth="1"/>
    <col min="2" max="2" width="22.7109375" style="2" customWidth="1"/>
    <col min="3" max="3" width="12" style="3" customWidth="1"/>
    <col min="4" max="4" width="15.5703125" style="3" customWidth="1"/>
    <col min="5" max="5" width="10.140625" style="4" customWidth="1"/>
    <col min="6" max="6" width="10.28515625" style="5" customWidth="1"/>
    <col min="7" max="7" width="10.140625" style="5" customWidth="1"/>
    <col min="8" max="9" width="10.28515625" style="5" customWidth="1"/>
    <col min="10" max="10" width="17.140625" style="3" customWidth="1"/>
    <col min="11" max="16384" width="9.140625" style="3"/>
  </cols>
  <sheetData>
    <row r="1" spans="1:10" ht="18.75" x14ac:dyDescent="0.3">
      <c r="J1" s="252" t="s">
        <v>183</v>
      </c>
    </row>
    <row r="2" spans="1:10" ht="15" customHeight="1" x14ac:dyDescent="0.3">
      <c r="I2" s="255" t="s">
        <v>184</v>
      </c>
      <c r="J2" s="255"/>
    </row>
    <row r="3" spans="1:10" ht="18.75" x14ac:dyDescent="0.2">
      <c r="J3" s="253" t="s">
        <v>278</v>
      </c>
    </row>
    <row r="4" spans="1:10" ht="12.75" customHeight="1" x14ac:dyDescent="0.2">
      <c r="J4" s="7"/>
    </row>
    <row r="5" spans="1:10" ht="18" customHeight="1" x14ac:dyDescent="0.2">
      <c r="A5" s="264" t="s">
        <v>275</v>
      </c>
      <c r="B5" s="264"/>
      <c r="C5" s="264"/>
      <c r="D5" s="264"/>
      <c r="E5" s="264"/>
      <c r="F5" s="264"/>
      <c r="G5" s="264"/>
      <c r="H5" s="264"/>
      <c r="I5" s="264"/>
      <c r="J5" s="264"/>
    </row>
    <row r="6" spans="1:10" ht="18.75" x14ac:dyDescent="0.2">
      <c r="A6" s="256" t="s">
        <v>276</v>
      </c>
      <c r="B6" s="256"/>
      <c r="C6" s="256"/>
      <c r="D6" s="256"/>
      <c r="E6" s="256"/>
      <c r="F6" s="256"/>
      <c r="G6" s="256"/>
      <c r="H6" s="256"/>
      <c r="I6" s="256"/>
      <c r="J6" s="256"/>
    </row>
    <row r="7" spans="1:10" ht="18.75" x14ac:dyDescent="0.2">
      <c r="A7" s="256" t="s">
        <v>277</v>
      </c>
      <c r="B7" s="256"/>
      <c r="C7" s="256"/>
      <c r="D7" s="256"/>
      <c r="E7" s="256"/>
      <c r="F7" s="256"/>
      <c r="G7" s="256"/>
      <c r="H7" s="256"/>
      <c r="I7" s="256"/>
      <c r="J7" s="256"/>
    </row>
    <row r="8" spans="1:10" ht="14.25" customHeight="1" x14ac:dyDescent="0.2">
      <c r="A8" s="8"/>
      <c r="B8" s="8"/>
      <c r="C8" s="9"/>
      <c r="D8" s="9"/>
      <c r="E8" s="10"/>
      <c r="F8" s="11"/>
      <c r="G8" s="11"/>
      <c r="H8" s="11"/>
      <c r="I8" s="11"/>
      <c r="J8" s="9"/>
    </row>
    <row r="9" spans="1:10" x14ac:dyDescent="0.2">
      <c r="A9" s="1" t="s">
        <v>0</v>
      </c>
      <c r="B9" s="8"/>
      <c r="C9" s="9"/>
      <c r="D9" s="9"/>
      <c r="E9" s="10"/>
      <c r="F9" s="11"/>
      <c r="G9" s="11"/>
      <c r="H9" s="11"/>
      <c r="I9" s="11"/>
    </row>
    <row r="10" spans="1:10" x14ac:dyDescent="0.2">
      <c r="B10" s="8"/>
      <c r="C10" s="168"/>
      <c r="D10" s="168"/>
      <c r="E10" s="10"/>
      <c r="F10" s="11"/>
      <c r="G10" s="11"/>
      <c r="H10" s="11"/>
      <c r="I10" s="11"/>
      <c r="J10" s="192">
        <v>1.0640000000000001</v>
      </c>
    </row>
    <row r="11" spans="1:10" ht="15.75" x14ac:dyDescent="0.2">
      <c r="A11" s="258" t="s">
        <v>228</v>
      </c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0" ht="12.75" customHeight="1" x14ac:dyDescent="0.2">
      <c r="B12" s="8"/>
      <c r="C12" s="9"/>
      <c r="D12" s="9"/>
      <c r="E12" s="10"/>
      <c r="F12" s="11"/>
      <c r="G12" s="11"/>
      <c r="H12" s="11"/>
      <c r="I12" s="11"/>
    </row>
    <row r="13" spans="1:10" ht="42" customHeight="1" x14ac:dyDescent="0.2">
      <c r="A13" s="320" t="s">
        <v>1</v>
      </c>
      <c r="B13" s="320"/>
      <c r="C13" s="320" t="s">
        <v>2</v>
      </c>
      <c r="D13" s="320" t="s">
        <v>3</v>
      </c>
      <c r="E13" s="320" t="s">
        <v>4</v>
      </c>
      <c r="F13" s="320"/>
      <c r="G13" s="320"/>
      <c r="H13" s="320"/>
      <c r="I13" s="320"/>
      <c r="J13" s="320" t="s">
        <v>5</v>
      </c>
    </row>
    <row r="14" spans="1:10" x14ac:dyDescent="0.2">
      <c r="A14" s="321" t="s">
        <v>6</v>
      </c>
      <c r="B14" s="320" t="s">
        <v>7</v>
      </c>
      <c r="C14" s="320"/>
      <c r="D14" s="320"/>
      <c r="E14" s="320"/>
      <c r="F14" s="320"/>
      <c r="G14" s="320"/>
      <c r="H14" s="320"/>
      <c r="I14" s="320"/>
      <c r="J14" s="320"/>
    </row>
    <row r="15" spans="1:10" ht="21" customHeight="1" x14ac:dyDescent="0.2">
      <c r="A15" s="321"/>
      <c r="B15" s="320"/>
      <c r="C15" s="320"/>
      <c r="D15" s="320"/>
      <c r="E15" s="170" t="s">
        <v>8</v>
      </c>
      <c r="F15" s="171" t="s">
        <v>9</v>
      </c>
      <c r="G15" s="171" t="s">
        <v>10</v>
      </c>
      <c r="H15" s="171" t="s">
        <v>11</v>
      </c>
      <c r="I15" s="171" t="s">
        <v>12</v>
      </c>
      <c r="J15" s="320"/>
    </row>
    <row r="16" spans="1:10" ht="21" customHeight="1" x14ac:dyDescent="0.2">
      <c r="A16" s="257" t="s">
        <v>227</v>
      </c>
      <c r="B16" s="257"/>
      <c r="C16" s="257"/>
      <c r="D16" s="257"/>
      <c r="E16" s="257"/>
      <c r="F16" s="257"/>
      <c r="G16" s="257"/>
      <c r="H16" s="257"/>
      <c r="I16" s="257"/>
      <c r="J16" s="262" t="s">
        <v>15</v>
      </c>
    </row>
    <row r="17" spans="1:10" ht="18" customHeight="1" x14ac:dyDescent="0.2">
      <c r="A17" s="14" t="s">
        <v>13</v>
      </c>
      <c r="B17" s="259" t="s">
        <v>14</v>
      </c>
      <c r="C17" s="260"/>
      <c r="D17" s="260"/>
      <c r="E17" s="260"/>
      <c r="F17" s="260"/>
      <c r="G17" s="260"/>
      <c r="H17" s="260"/>
      <c r="I17" s="261"/>
      <c r="J17" s="263"/>
    </row>
    <row r="18" spans="1:10" x14ac:dyDescent="0.2">
      <c r="A18" s="270" t="s">
        <v>18</v>
      </c>
      <c r="B18" s="268" t="s">
        <v>19</v>
      </c>
      <c r="C18" s="15" t="s">
        <v>22</v>
      </c>
      <c r="D18" s="15" t="s">
        <v>20</v>
      </c>
      <c r="E18" s="16">
        <f>24*J10</f>
        <v>25.536000000000001</v>
      </c>
      <c r="F18" s="17">
        <f>23.74*$J$10</f>
        <v>25.259360000000001</v>
      </c>
      <c r="G18" s="17"/>
      <c r="H18" s="17"/>
      <c r="I18" s="17"/>
      <c r="J18" s="269" t="s">
        <v>15</v>
      </c>
    </row>
    <row r="19" spans="1:10" ht="40.5" customHeight="1" x14ac:dyDescent="0.2">
      <c r="A19" s="270"/>
      <c r="B19" s="268"/>
      <c r="C19" s="15" t="s">
        <v>22</v>
      </c>
      <c r="D19" s="15" t="s">
        <v>23</v>
      </c>
      <c r="E19" s="189">
        <f>10.4</f>
        <v>10.4</v>
      </c>
      <c r="F19" s="178">
        <f>E19*J10</f>
        <v>11.065600000000002</v>
      </c>
      <c r="G19" s="17"/>
      <c r="H19" s="17"/>
      <c r="I19" s="17"/>
      <c r="J19" s="269"/>
    </row>
    <row r="20" spans="1:10" ht="25.5" x14ac:dyDescent="0.2">
      <c r="A20" s="18" t="s">
        <v>24</v>
      </c>
      <c r="B20" s="19" t="s">
        <v>232</v>
      </c>
      <c r="C20" s="15" t="s">
        <v>22</v>
      </c>
      <c r="D20" s="15" t="s">
        <v>26</v>
      </c>
      <c r="E20" s="190">
        <f>24.5*1.055</f>
        <v>25.8475</v>
      </c>
      <c r="F20" s="17">
        <f>25.85*J10</f>
        <v>27.504400000000004</v>
      </c>
      <c r="G20" s="20" t="s">
        <v>21</v>
      </c>
      <c r="H20" s="17"/>
      <c r="I20" s="17"/>
      <c r="J20" s="15" t="s">
        <v>15</v>
      </c>
    </row>
    <row r="21" spans="1:10" x14ac:dyDescent="0.2">
      <c r="A21" s="270" t="s">
        <v>27</v>
      </c>
      <c r="B21" s="322" t="s">
        <v>28</v>
      </c>
      <c r="C21" s="15" t="s">
        <v>22</v>
      </c>
      <c r="D21" s="15" t="s">
        <v>26</v>
      </c>
      <c r="E21" s="16">
        <f>26*J10</f>
        <v>27.664000000000001</v>
      </c>
      <c r="F21" s="17">
        <f>25.85*J10</f>
        <v>27.504400000000004</v>
      </c>
      <c r="G21" s="17">
        <f>27.15*J10</f>
        <v>28.887599999999999</v>
      </c>
      <c r="H21" s="17"/>
      <c r="I21" s="17"/>
      <c r="J21" s="269" t="s">
        <v>15</v>
      </c>
    </row>
    <row r="22" spans="1:10" ht="25.5" hidden="1" x14ac:dyDescent="0.2">
      <c r="A22" s="270"/>
      <c r="B22" s="322"/>
      <c r="C22" s="15" t="s">
        <v>22</v>
      </c>
      <c r="D22" s="15" t="s">
        <v>29</v>
      </c>
      <c r="E22" s="16">
        <v>10.4</v>
      </c>
      <c r="F22" s="17">
        <v>10.4</v>
      </c>
      <c r="G22" s="17">
        <v>10.4</v>
      </c>
      <c r="H22" s="17"/>
      <c r="I22" s="17"/>
      <c r="J22" s="269"/>
    </row>
    <row r="23" spans="1:10" ht="24.75" customHeight="1" x14ac:dyDescent="0.2">
      <c r="A23" s="270"/>
      <c r="B23" s="322"/>
      <c r="C23" s="15" t="s">
        <v>37</v>
      </c>
      <c r="D23" s="15" t="s">
        <v>30</v>
      </c>
      <c r="E23" s="16">
        <f>20*J10</f>
        <v>21.28</v>
      </c>
      <c r="F23" s="17">
        <f>20.05*J10</f>
        <v>21.333200000000001</v>
      </c>
      <c r="G23" s="17">
        <f>21.05*J10</f>
        <v>22.397200000000002</v>
      </c>
      <c r="H23" s="17">
        <f>21.05*J10</f>
        <v>22.397200000000002</v>
      </c>
      <c r="I23" s="21"/>
      <c r="J23" s="269"/>
    </row>
    <row r="24" spans="1:10" ht="30" customHeight="1" x14ac:dyDescent="0.2">
      <c r="A24" s="270" t="s">
        <v>31</v>
      </c>
      <c r="B24" s="268" t="s">
        <v>32</v>
      </c>
      <c r="C24" s="15" t="s">
        <v>22</v>
      </c>
      <c r="D24" s="15" t="s">
        <v>26</v>
      </c>
      <c r="E24" s="16">
        <f>26*J10</f>
        <v>27.664000000000001</v>
      </c>
      <c r="F24" s="17">
        <f>25.85*J10</f>
        <v>27.504400000000004</v>
      </c>
      <c r="G24" s="17">
        <f>27.15*J10</f>
        <v>28.887599999999999</v>
      </c>
      <c r="H24" s="17"/>
      <c r="J24" s="269" t="s">
        <v>15</v>
      </c>
    </row>
    <row r="25" spans="1:10" ht="25.5" hidden="1" x14ac:dyDescent="0.2">
      <c r="A25" s="270"/>
      <c r="B25" s="268"/>
      <c r="C25" s="15" t="s">
        <v>22</v>
      </c>
      <c r="D25" s="15" t="s">
        <v>29</v>
      </c>
      <c r="E25" s="16">
        <v>10.4</v>
      </c>
      <c r="F25" s="16">
        <v>10.4</v>
      </c>
      <c r="G25" s="17">
        <v>10.4</v>
      </c>
      <c r="H25" s="16"/>
      <c r="I25" s="17"/>
      <c r="J25" s="269"/>
    </row>
    <row r="26" spans="1:10" ht="27" customHeight="1" x14ac:dyDescent="0.2">
      <c r="A26" s="18" t="s">
        <v>33</v>
      </c>
      <c r="B26" s="19" t="s">
        <v>34</v>
      </c>
      <c r="C26" s="15" t="s">
        <v>22</v>
      </c>
      <c r="D26" s="15" t="s">
        <v>26</v>
      </c>
      <c r="E26" s="17"/>
      <c r="F26" s="17">
        <f>25.85*J10</f>
        <v>27.504400000000004</v>
      </c>
      <c r="G26" s="17"/>
      <c r="H26" s="17"/>
      <c r="I26" s="17"/>
      <c r="J26" s="15" t="s">
        <v>15</v>
      </c>
    </row>
    <row r="27" spans="1:10" x14ac:dyDescent="0.2">
      <c r="A27" s="18" t="s">
        <v>35</v>
      </c>
      <c r="B27" s="19" t="s">
        <v>36</v>
      </c>
      <c r="C27" s="15" t="s">
        <v>37</v>
      </c>
      <c r="D27" s="15" t="s">
        <v>38</v>
      </c>
      <c r="E27" s="16"/>
      <c r="F27" s="17">
        <f>20.05*J10</f>
        <v>21.333200000000001</v>
      </c>
      <c r="G27" s="17">
        <f>21.05*J10</f>
        <v>22.397200000000002</v>
      </c>
      <c r="H27" s="17"/>
      <c r="I27" s="17"/>
      <c r="J27" s="15" t="s">
        <v>15</v>
      </c>
    </row>
    <row r="28" spans="1:10" ht="13.5" customHeight="1" x14ac:dyDescent="0.2">
      <c r="A28" s="270" t="s">
        <v>39</v>
      </c>
      <c r="B28" s="271" t="s">
        <v>40</v>
      </c>
      <c r="C28" s="22" t="s">
        <v>22</v>
      </c>
      <c r="D28" s="22" t="s">
        <v>38</v>
      </c>
      <c r="E28" s="23">
        <f>26*J10</f>
        <v>27.664000000000001</v>
      </c>
      <c r="F28" s="21">
        <f>25.85*J10</f>
        <v>27.504400000000004</v>
      </c>
      <c r="G28" s="21">
        <f>24.93*J10</f>
        <v>26.52552</v>
      </c>
      <c r="H28" s="21"/>
      <c r="I28" s="21"/>
      <c r="J28" s="22" t="s">
        <v>15</v>
      </c>
    </row>
    <row r="29" spans="1:10" ht="25.5" hidden="1" x14ac:dyDescent="0.2">
      <c r="A29" s="270"/>
      <c r="B29" s="271"/>
      <c r="C29" s="22" t="s">
        <v>22</v>
      </c>
      <c r="D29" s="22" t="s">
        <v>41</v>
      </c>
      <c r="E29" s="23">
        <v>10.4</v>
      </c>
      <c r="F29" s="21">
        <v>10.4</v>
      </c>
      <c r="G29" s="21">
        <v>10.4</v>
      </c>
      <c r="H29" s="21"/>
      <c r="I29" s="21"/>
      <c r="J29" s="22" t="s">
        <v>15</v>
      </c>
    </row>
    <row r="30" spans="1:10" x14ac:dyDescent="0.2">
      <c r="A30" s="270" t="s">
        <v>42</v>
      </c>
      <c r="B30" s="271" t="s">
        <v>43</v>
      </c>
      <c r="C30" s="22" t="s">
        <v>22</v>
      </c>
      <c r="D30" s="22" t="s">
        <v>38</v>
      </c>
      <c r="E30" s="23">
        <f>26*J10</f>
        <v>27.664000000000001</v>
      </c>
      <c r="F30" s="21">
        <f>25.85*J10</f>
        <v>27.504400000000004</v>
      </c>
      <c r="G30" s="21">
        <f>24.93*J10</f>
        <v>26.52552</v>
      </c>
      <c r="H30" s="21"/>
      <c r="I30" s="21"/>
      <c r="J30" s="22" t="s">
        <v>15</v>
      </c>
    </row>
    <row r="31" spans="1:10" ht="25.5" hidden="1" x14ac:dyDescent="0.2">
      <c r="A31" s="270"/>
      <c r="B31" s="271"/>
      <c r="C31" s="22" t="s">
        <v>22</v>
      </c>
      <c r="D31" s="22" t="s">
        <v>41</v>
      </c>
      <c r="E31" s="23">
        <v>10.4</v>
      </c>
      <c r="F31" s="23">
        <v>10.4</v>
      </c>
      <c r="G31" s="21">
        <v>10.4</v>
      </c>
      <c r="H31" s="21" t="s">
        <v>21</v>
      </c>
      <c r="I31" s="21"/>
      <c r="J31" s="22" t="s">
        <v>15</v>
      </c>
    </row>
    <row r="32" spans="1:10" x14ac:dyDescent="0.2">
      <c r="A32" s="270"/>
      <c r="B32" s="271"/>
      <c r="C32" s="22" t="s">
        <v>37</v>
      </c>
      <c r="D32" s="22" t="s">
        <v>44</v>
      </c>
      <c r="E32" s="23">
        <f>20*J10</f>
        <v>21.28</v>
      </c>
      <c r="F32" s="21">
        <f>20.05*J10</f>
        <v>21.333200000000001</v>
      </c>
      <c r="G32" s="191">
        <f>19.95*1.055</f>
        <v>21.047249999999998</v>
      </c>
      <c r="H32" s="21">
        <f>21.05*J10</f>
        <v>22.397200000000002</v>
      </c>
      <c r="I32" s="21"/>
      <c r="J32" s="22" t="s">
        <v>15</v>
      </c>
    </row>
    <row r="33" spans="1:10" ht="25.5" x14ac:dyDescent="0.2">
      <c r="A33" s="18" t="s">
        <v>45</v>
      </c>
      <c r="B33" s="24" t="s">
        <v>46</v>
      </c>
      <c r="C33" s="22" t="s">
        <v>22</v>
      </c>
      <c r="D33" s="22" t="s">
        <v>26</v>
      </c>
      <c r="E33" s="21"/>
      <c r="F33" s="21">
        <f>25.85*J10</f>
        <v>27.504400000000004</v>
      </c>
      <c r="G33" s="21"/>
      <c r="H33" s="21"/>
      <c r="I33" s="21"/>
      <c r="J33" s="22" t="s">
        <v>15</v>
      </c>
    </row>
    <row r="34" spans="1:10" ht="16.5" customHeight="1" x14ac:dyDescent="0.2">
      <c r="A34" s="25" t="s">
        <v>16</v>
      </c>
      <c r="B34" s="266" t="s">
        <v>17</v>
      </c>
      <c r="C34" s="266"/>
      <c r="D34" s="266"/>
      <c r="E34" s="266"/>
      <c r="F34" s="266"/>
      <c r="G34" s="266"/>
      <c r="H34" s="266"/>
      <c r="I34" s="266"/>
      <c r="J34" s="266"/>
    </row>
    <row r="35" spans="1:10" ht="26.25" customHeight="1" x14ac:dyDescent="0.2">
      <c r="A35" s="270" t="s">
        <v>18</v>
      </c>
      <c r="B35" s="271" t="s">
        <v>19</v>
      </c>
      <c r="C35" s="22" t="s">
        <v>22</v>
      </c>
      <c r="D35" s="22" t="s">
        <v>47</v>
      </c>
      <c r="E35" s="21">
        <f>24*J10</f>
        <v>25.536000000000001</v>
      </c>
      <c r="F35" s="23"/>
      <c r="G35" s="21">
        <f>23.74*J10</f>
        <v>25.259360000000001</v>
      </c>
      <c r="H35" s="21"/>
      <c r="I35" s="21"/>
      <c r="J35" s="273" t="s">
        <v>15</v>
      </c>
    </row>
    <row r="36" spans="1:10" ht="25.5" hidden="1" x14ac:dyDescent="0.2">
      <c r="A36" s="270"/>
      <c r="B36" s="271"/>
      <c r="C36" s="22" t="s">
        <v>22</v>
      </c>
      <c r="D36" s="22" t="s">
        <v>48</v>
      </c>
      <c r="E36" s="21"/>
      <c r="F36" s="23">
        <f>10.4</f>
        <v>10.4</v>
      </c>
      <c r="G36" s="21">
        <v>10.4</v>
      </c>
      <c r="H36" s="21"/>
      <c r="I36" s="21"/>
      <c r="J36" s="273"/>
    </row>
    <row r="37" spans="1:10" ht="33.75" customHeight="1" x14ac:dyDescent="0.2">
      <c r="A37" s="18" t="s">
        <v>24</v>
      </c>
      <c r="B37" s="24" t="s">
        <v>233</v>
      </c>
      <c r="C37" s="22" t="s">
        <v>22</v>
      </c>
      <c r="D37" s="22" t="s">
        <v>49</v>
      </c>
      <c r="E37" s="21"/>
      <c r="F37" s="21"/>
      <c r="G37" s="21">
        <f>25.85*J10</f>
        <v>27.504400000000004</v>
      </c>
      <c r="H37" s="21"/>
      <c r="I37" s="21"/>
      <c r="J37" s="22" t="s">
        <v>15</v>
      </c>
    </row>
    <row r="38" spans="1:10" x14ac:dyDescent="0.2">
      <c r="A38" s="270" t="s">
        <v>27</v>
      </c>
      <c r="B38" s="323" t="s">
        <v>28</v>
      </c>
      <c r="C38" s="22" t="s">
        <v>22</v>
      </c>
      <c r="D38" s="22" t="s">
        <v>49</v>
      </c>
      <c r="E38" s="21">
        <f>26*J10</f>
        <v>27.664000000000001</v>
      </c>
      <c r="F38" s="23"/>
      <c r="G38" s="21">
        <f>25.85*J10</f>
        <v>27.504400000000004</v>
      </c>
      <c r="H38" s="21"/>
      <c r="I38" s="21"/>
      <c r="J38" s="273" t="s">
        <v>15</v>
      </c>
    </row>
    <row r="39" spans="1:10" ht="25.5" hidden="1" x14ac:dyDescent="0.2">
      <c r="A39" s="270"/>
      <c r="B39" s="323"/>
      <c r="C39" s="22" t="s">
        <v>22</v>
      </c>
      <c r="D39" s="22" t="s">
        <v>50</v>
      </c>
      <c r="E39" s="21"/>
      <c r="F39" s="23">
        <v>10.4</v>
      </c>
      <c r="G39" s="21">
        <v>10.4</v>
      </c>
      <c r="H39" s="21"/>
      <c r="I39" s="21"/>
      <c r="J39" s="273"/>
    </row>
    <row r="40" spans="1:10" ht="25.5" customHeight="1" x14ac:dyDescent="0.2">
      <c r="A40" s="270"/>
      <c r="B40" s="323"/>
      <c r="C40" s="22" t="s">
        <v>37</v>
      </c>
      <c r="D40" s="22" t="s">
        <v>26</v>
      </c>
      <c r="E40" s="21">
        <f>20*J10</f>
        <v>21.28</v>
      </c>
      <c r="F40" s="23">
        <f>20.05*1.064</f>
        <v>21.333200000000001</v>
      </c>
      <c r="G40" s="21">
        <f>20.05*J10</f>
        <v>21.333200000000001</v>
      </c>
      <c r="H40" s="21">
        <f>21.05*1.064</f>
        <v>22.397200000000002</v>
      </c>
      <c r="I40" s="21"/>
      <c r="J40" s="273"/>
    </row>
    <row r="41" spans="1:10" ht="27.75" customHeight="1" x14ac:dyDescent="0.2">
      <c r="A41" s="270" t="s">
        <v>31</v>
      </c>
      <c r="B41" s="271" t="s">
        <v>32</v>
      </c>
      <c r="C41" s="22" t="s">
        <v>22</v>
      </c>
      <c r="D41" s="22" t="s">
        <v>49</v>
      </c>
      <c r="E41" s="21">
        <f>26*J10</f>
        <v>27.664000000000001</v>
      </c>
      <c r="F41" s="23"/>
      <c r="G41" s="21">
        <f>25.85*J10</f>
        <v>27.504400000000004</v>
      </c>
      <c r="H41" s="21"/>
      <c r="I41" s="26"/>
      <c r="J41" s="273" t="s">
        <v>15</v>
      </c>
    </row>
    <row r="42" spans="1:10" ht="25.5" hidden="1" x14ac:dyDescent="0.2">
      <c r="A42" s="270"/>
      <c r="B42" s="271"/>
      <c r="C42" s="22" t="s">
        <v>22</v>
      </c>
      <c r="D42" s="22" t="s">
        <v>50</v>
      </c>
      <c r="E42" s="21"/>
      <c r="F42" s="23">
        <v>10.4</v>
      </c>
      <c r="G42" s="21">
        <v>10.4</v>
      </c>
      <c r="H42" s="21"/>
      <c r="I42" s="26"/>
      <c r="J42" s="273"/>
    </row>
    <row r="43" spans="1:10" x14ac:dyDescent="0.2">
      <c r="A43" s="270" t="s">
        <v>33</v>
      </c>
      <c r="B43" s="271" t="s">
        <v>34</v>
      </c>
      <c r="C43" s="22" t="s">
        <v>22</v>
      </c>
      <c r="D43" s="22" t="s">
        <v>49</v>
      </c>
      <c r="E43" s="21"/>
      <c r="F43" s="23"/>
      <c r="G43" s="21">
        <f>25.85*J10</f>
        <v>27.504400000000004</v>
      </c>
      <c r="H43" s="21"/>
      <c r="I43" s="26"/>
      <c r="J43" s="22" t="s">
        <v>15</v>
      </c>
    </row>
    <row r="44" spans="1:10" x14ac:dyDescent="0.2">
      <c r="A44" s="270"/>
      <c r="B44" s="271"/>
      <c r="C44" s="22" t="s">
        <v>37</v>
      </c>
      <c r="D44" s="22" t="s">
        <v>26</v>
      </c>
      <c r="E44" s="26"/>
      <c r="F44" s="23"/>
      <c r="G44" s="21">
        <f>20.05*J10</f>
        <v>21.333200000000001</v>
      </c>
      <c r="H44" s="26"/>
      <c r="I44" s="21"/>
      <c r="J44" s="22"/>
    </row>
    <row r="45" spans="1:10" x14ac:dyDescent="0.2">
      <c r="A45" s="18" t="s">
        <v>35</v>
      </c>
      <c r="B45" s="24" t="s">
        <v>36</v>
      </c>
      <c r="C45" s="22" t="s">
        <v>37</v>
      </c>
      <c r="D45" s="22" t="s">
        <v>20</v>
      </c>
      <c r="E45" s="21"/>
      <c r="F45" s="23">
        <v>21.333200000000001</v>
      </c>
      <c r="G45" s="21">
        <f>20.05*J10</f>
        <v>21.333200000000001</v>
      </c>
      <c r="H45" s="21"/>
      <c r="I45" s="26"/>
      <c r="J45" s="22" t="s">
        <v>15</v>
      </c>
    </row>
    <row r="46" spans="1:10" x14ac:dyDescent="0.2">
      <c r="A46" s="270" t="s">
        <v>39</v>
      </c>
      <c r="B46" s="271" t="s">
        <v>40</v>
      </c>
      <c r="C46" s="22" t="s">
        <v>22</v>
      </c>
      <c r="D46" s="22" t="s">
        <v>20</v>
      </c>
      <c r="E46" s="21"/>
      <c r="F46" s="23"/>
      <c r="G46" s="21">
        <f>25.85*J10</f>
        <v>27.504400000000004</v>
      </c>
      <c r="H46" s="21"/>
      <c r="I46" s="26"/>
      <c r="J46" s="22" t="s">
        <v>15</v>
      </c>
    </row>
    <row r="47" spans="1:10" ht="25.5" hidden="1" x14ac:dyDescent="0.2">
      <c r="A47" s="270"/>
      <c r="B47" s="271"/>
      <c r="C47" s="22" t="s">
        <v>22</v>
      </c>
      <c r="D47" s="22" t="s">
        <v>23</v>
      </c>
      <c r="E47" s="21"/>
      <c r="F47" s="23"/>
      <c r="G47" s="21">
        <v>10.4</v>
      </c>
      <c r="H47" s="21"/>
      <c r="I47" s="26"/>
      <c r="J47" s="22" t="s">
        <v>15</v>
      </c>
    </row>
    <row r="48" spans="1:10" x14ac:dyDescent="0.2">
      <c r="A48" s="270" t="s">
        <v>42</v>
      </c>
      <c r="B48" s="271" t="s">
        <v>43</v>
      </c>
      <c r="C48" s="22" t="s">
        <v>22</v>
      </c>
      <c r="D48" s="22" t="s">
        <v>20</v>
      </c>
      <c r="E48" s="21"/>
      <c r="F48" s="23"/>
      <c r="G48" s="21">
        <f>25.85*J10</f>
        <v>27.504400000000004</v>
      </c>
      <c r="H48" s="21"/>
      <c r="I48" s="26"/>
      <c r="J48" s="22" t="s">
        <v>15</v>
      </c>
    </row>
    <row r="49" spans="1:10" ht="25.5" hidden="1" x14ac:dyDescent="0.2">
      <c r="A49" s="270"/>
      <c r="B49" s="271"/>
      <c r="C49" s="22" t="s">
        <v>22</v>
      </c>
      <c r="D49" s="22" t="s">
        <v>23</v>
      </c>
      <c r="E49" s="26"/>
      <c r="F49" s="23"/>
      <c r="G49" s="21">
        <v>10.4</v>
      </c>
      <c r="H49" s="26"/>
      <c r="I49" s="26"/>
      <c r="J49" s="22" t="s">
        <v>15</v>
      </c>
    </row>
    <row r="50" spans="1:10" ht="15.75" customHeight="1" x14ac:dyDescent="0.2">
      <c r="A50" s="270"/>
      <c r="B50" s="271"/>
      <c r="C50" s="22" t="s">
        <v>37</v>
      </c>
      <c r="D50" s="22" t="s">
        <v>38</v>
      </c>
      <c r="E50" s="26"/>
      <c r="F50" s="23">
        <v>21.333200000000001</v>
      </c>
      <c r="G50" s="186">
        <f>20.05*J10</f>
        <v>21.333200000000001</v>
      </c>
      <c r="H50" s="254">
        <f>21.05*1.064</f>
        <v>22.397200000000002</v>
      </c>
      <c r="I50" s="26"/>
      <c r="J50" s="22" t="s">
        <v>15</v>
      </c>
    </row>
    <row r="51" spans="1:10" ht="107.25" hidden="1" customHeight="1" x14ac:dyDescent="0.2">
      <c r="A51" s="267" t="s">
        <v>1</v>
      </c>
      <c r="B51" s="267"/>
      <c r="C51" s="27" t="s">
        <v>2</v>
      </c>
      <c r="D51" s="27" t="s">
        <v>3</v>
      </c>
      <c r="E51" s="267" t="s">
        <v>4</v>
      </c>
      <c r="F51" s="267"/>
      <c r="G51" s="267"/>
      <c r="H51" s="267"/>
      <c r="I51" s="267"/>
      <c r="J51" s="27" t="s">
        <v>5</v>
      </c>
    </row>
    <row r="52" spans="1:10" hidden="1" x14ac:dyDescent="0.2">
      <c r="A52" s="28" t="s">
        <v>161</v>
      </c>
      <c r="B52" s="266" t="s">
        <v>163</v>
      </c>
      <c r="C52" s="266"/>
      <c r="D52" s="266"/>
      <c r="E52" s="266"/>
      <c r="F52" s="266"/>
      <c r="G52" s="266"/>
      <c r="H52" s="266"/>
      <c r="I52" s="266"/>
      <c r="J52" s="266"/>
    </row>
    <row r="53" spans="1:10" hidden="1" x14ac:dyDescent="0.2">
      <c r="A53" s="29" t="s">
        <v>162</v>
      </c>
      <c r="B53" s="265" t="s">
        <v>62</v>
      </c>
      <c r="C53" s="265"/>
      <c r="D53" s="265"/>
      <c r="E53" s="265"/>
      <c r="F53" s="265"/>
      <c r="G53" s="265"/>
      <c r="H53" s="265"/>
      <c r="I53" s="265"/>
      <c r="J53" s="265"/>
    </row>
    <row r="54" spans="1:10" ht="45" hidden="1" customHeight="1" x14ac:dyDescent="0.2">
      <c r="A54" s="18" t="s">
        <v>63</v>
      </c>
      <c r="B54" s="30" t="s">
        <v>64</v>
      </c>
      <c r="C54" s="15" t="s">
        <v>53</v>
      </c>
      <c r="D54" s="15" t="s">
        <v>65</v>
      </c>
      <c r="E54" s="16">
        <f>37*1.055</f>
        <v>39.034999999999997</v>
      </c>
      <c r="F54" s="17">
        <f>32.55*1.055</f>
        <v>34.340249999999997</v>
      </c>
      <c r="G54" s="17">
        <f>32.55*1.055</f>
        <v>34.340249999999997</v>
      </c>
      <c r="H54" s="17"/>
      <c r="I54" s="17"/>
      <c r="J54" s="15" t="s">
        <v>66</v>
      </c>
    </row>
    <row r="55" spans="1:10" ht="21" hidden="1" customHeight="1" x14ac:dyDescent="0.2">
      <c r="A55" s="285" t="s">
        <v>67</v>
      </c>
      <c r="B55" s="262" t="s">
        <v>68</v>
      </c>
      <c r="C55" s="269" t="s">
        <v>53</v>
      </c>
      <c r="D55" s="15" t="s">
        <v>65</v>
      </c>
      <c r="E55" s="16">
        <f>53*1.055</f>
        <v>55.914999999999999</v>
      </c>
      <c r="F55" s="17">
        <f>52.5*1.055</f>
        <v>55.387499999999996</v>
      </c>
      <c r="G55" s="17">
        <f>52.5*1.055</f>
        <v>55.387499999999996</v>
      </c>
      <c r="H55" s="17"/>
      <c r="I55" s="17"/>
      <c r="J55" s="15" t="s">
        <v>66</v>
      </c>
    </row>
    <row r="56" spans="1:10" hidden="1" x14ac:dyDescent="0.2">
      <c r="A56" s="286"/>
      <c r="B56" s="288"/>
      <c r="C56" s="269"/>
      <c r="D56" s="31" t="s">
        <v>69</v>
      </c>
      <c r="E56" s="294"/>
      <c r="F56" s="324">
        <f>52.5*1.055</f>
        <v>55.387499999999996</v>
      </c>
      <c r="G56" s="276"/>
      <c r="H56" s="275"/>
      <c r="I56" s="275"/>
      <c r="J56" s="269" t="s">
        <v>70</v>
      </c>
    </row>
    <row r="57" spans="1:10" ht="75.75" hidden="1" customHeight="1" x14ac:dyDescent="0.2">
      <c r="A57" s="286"/>
      <c r="B57" s="288"/>
      <c r="C57" s="269"/>
      <c r="D57" s="31" t="s">
        <v>71</v>
      </c>
      <c r="E57" s="294"/>
      <c r="F57" s="324"/>
      <c r="G57" s="276"/>
      <c r="H57" s="275"/>
      <c r="I57" s="275"/>
      <c r="J57" s="269"/>
    </row>
    <row r="58" spans="1:10" ht="75.75" hidden="1" customHeight="1" x14ac:dyDescent="0.2">
      <c r="A58" s="287"/>
      <c r="B58" s="263"/>
      <c r="C58" s="15" t="s">
        <v>37</v>
      </c>
      <c r="D58" s="31" t="s">
        <v>79</v>
      </c>
      <c r="E58" s="32">
        <f>30*1.055</f>
        <v>31.65</v>
      </c>
      <c r="F58" s="23"/>
      <c r="G58" s="17"/>
      <c r="H58" s="33"/>
      <c r="I58" s="33"/>
      <c r="J58" s="15"/>
    </row>
    <row r="59" spans="1:10" ht="70.5" hidden="1" customHeight="1" x14ac:dyDescent="0.2">
      <c r="A59" s="270" t="s">
        <v>72</v>
      </c>
      <c r="B59" s="30" t="s">
        <v>73</v>
      </c>
      <c r="C59" s="15" t="s">
        <v>53</v>
      </c>
      <c r="D59" s="15" t="s">
        <v>65</v>
      </c>
      <c r="E59" s="16">
        <f>56*1.055</f>
        <v>59.08</v>
      </c>
      <c r="F59" s="17">
        <f>57.75*1.055</f>
        <v>60.926249999999996</v>
      </c>
      <c r="G59" s="17">
        <f>57.75*1.055</f>
        <v>60.926249999999996</v>
      </c>
      <c r="H59" s="17"/>
      <c r="I59" s="17"/>
      <c r="J59" s="15" t="s">
        <v>70</v>
      </c>
    </row>
    <row r="60" spans="1:10" ht="63" hidden="1" customHeight="1" x14ac:dyDescent="0.2">
      <c r="A60" s="270"/>
      <c r="B60" s="272" t="s">
        <v>74</v>
      </c>
      <c r="C60" s="269" t="s">
        <v>53</v>
      </c>
      <c r="D60" s="31" t="s">
        <v>69</v>
      </c>
      <c r="E60" s="294"/>
      <c r="F60" s="324">
        <f>57.75*1.055</f>
        <v>60.926249999999996</v>
      </c>
      <c r="G60" s="276">
        <f>45.15*1.055</f>
        <v>47.633249999999997</v>
      </c>
      <c r="H60" s="275"/>
      <c r="I60" s="275"/>
      <c r="J60" s="269" t="s">
        <v>70</v>
      </c>
    </row>
    <row r="61" spans="1:10" ht="25.5" hidden="1" x14ac:dyDescent="0.2">
      <c r="A61" s="270"/>
      <c r="B61" s="272"/>
      <c r="C61" s="269"/>
      <c r="D61" s="31" t="s">
        <v>71</v>
      </c>
      <c r="E61" s="294"/>
      <c r="F61" s="324"/>
      <c r="G61" s="276"/>
      <c r="H61" s="275"/>
      <c r="I61" s="275"/>
      <c r="J61" s="269"/>
    </row>
    <row r="62" spans="1:10" hidden="1" x14ac:dyDescent="0.2">
      <c r="A62" s="285" t="s">
        <v>75</v>
      </c>
      <c r="B62" s="262" t="s">
        <v>76</v>
      </c>
      <c r="C62" s="15" t="s">
        <v>53</v>
      </c>
      <c r="D62" s="15" t="s">
        <v>65</v>
      </c>
      <c r="E62" s="16">
        <f>55*1.055</f>
        <v>58.024999999999999</v>
      </c>
      <c r="F62" s="17">
        <f>52.5*1.055</f>
        <v>55.387499999999996</v>
      </c>
      <c r="G62" s="17">
        <f>52.5*1.055</f>
        <v>55.387499999999996</v>
      </c>
      <c r="H62" s="17"/>
      <c r="I62" s="17"/>
      <c r="J62" s="269" t="s">
        <v>77</v>
      </c>
    </row>
    <row r="63" spans="1:10" ht="15.75" hidden="1" customHeight="1" x14ac:dyDescent="0.2">
      <c r="A63" s="286"/>
      <c r="B63" s="288"/>
      <c r="C63" s="262" t="s">
        <v>78</v>
      </c>
      <c r="D63" s="15" t="s">
        <v>79</v>
      </c>
      <c r="E63" s="16">
        <f>30*1.055</f>
        <v>31.65</v>
      </c>
      <c r="F63" s="17">
        <f>28.35*1.055</f>
        <v>29.90925</v>
      </c>
      <c r="G63" s="17">
        <f>28.35*1.055</f>
        <v>29.90925</v>
      </c>
      <c r="H63" s="17"/>
      <c r="I63" s="17"/>
      <c r="J63" s="269"/>
    </row>
    <row r="64" spans="1:10" ht="38.25" hidden="1" x14ac:dyDescent="0.2">
      <c r="A64" s="286"/>
      <c r="B64" s="288"/>
      <c r="C64" s="288"/>
      <c r="D64" s="34" t="s">
        <v>80</v>
      </c>
      <c r="E64" s="32"/>
      <c r="F64" s="17">
        <f t="shared" ref="F64:G66" si="0">31.5*1.055</f>
        <v>33.232499999999995</v>
      </c>
      <c r="G64" s="17">
        <f t="shared" si="0"/>
        <v>33.232499999999995</v>
      </c>
      <c r="H64" s="17"/>
      <c r="I64" s="33"/>
      <c r="J64" s="269"/>
    </row>
    <row r="65" spans="1:10" ht="38.25" hidden="1" x14ac:dyDescent="0.2">
      <c r="A65" s="286"/>
      <c r="B65" s="288"/>
      <c r="C65" s="263"/>
      <c r="D65" s="34" t="s">
        <v>187</v>
      </c>
      <c r="E65" s="35">
        <f>30*1.055</f>
        <v>31.65</v>
      </c>
      <c r="F65" s="17"/>
      <c r="G65" s="17"/>
      <c r="H65" s="17"/>
      <c r="I65" s="33"/>
      <c r="J65" s="269"/>
    </row>
    <row r="66" spans="1:10" hidden="1" x14ac:dyDescent="0.2">
      <c r="A66" s="286"/>
      <c r="B66" s="288"/>
      <c r="C66" s="279" t="s">
        <v>78</v>
      </c>
      <c r="D66" s="34" t="s">
        <v>69</v>
      </c>
      <c r="E66" s="282"/>
      <c r="F66" s="276">
        <f t="shared" si="0"/>
        <v>33.232499999999995</v>
      </c>
      <c r="G66" s="276"/>
      <c r="H66" s="276"/>
      <c r="I66" s="275"/>
      <c r="J66" s="269"/>
    </row>
    <row r="67" spans="1:10" ht="27.75" hidden="1" customHeight="1" x14ac:dyDescent="0.2">
      <c r="A67" s="286"/>
      <c r="B67" s="288"/>
      <c r="C67" s="279"/>
      <c r="D67" s="36" t="s">
        <v>81</v>
      </c>
      <c r="E67" s="282"/>
      <c r="F67" s="276"/>
      <c r="G67" s="276"/>
      <c r="H67" s="276"/>
      <c r="I67" s="275"/>
      <c r="J67" s="269"/>
    </row>
    <row r="68" spans="1:10" hidden="1" x14ac:dyDescent="0.2">
      <c r="A68" s="286"/>
      <c r="B68" s="288"/>
      <c r="C68" s="279"/>
      <c r="D68" s="37" t="s">
        <v>82</v>
      </c>
      <c r="E68" s="291"/>
      <c r="F68" s="276">
        <f>29.4*1.055</f>
        <v>31.016999999999996</v>
      </c>
      <c r="G68" s="276">
        <f>29.4*1.055</f>
        <v>31.016999999999996</v>
      </c>
      <c r="H68" s="276"/>
      <c r="I68" s="275"/>
      <c r="J68" s="269"/>
    </row>
    <row r="69" spans="1:10" ht="38.25" hidden="1" x14ac:dyDescent="0.2">
      <c r="A69" s="286"/>
      <c r="B69" s="288"/>
      <c r="C69" s="279"/>
      <c r="D69" s="38" t="s">
        <v>83</v>
      </c>
      <c r="E69" s="291"/>
      <c r="F69" s="276"/>
      <c r="G69" s="276"/>
      <c r="H69" s="276"/>
      <c r="I69" s="275"/>
      <c r="J69" s="269"/>
    </row>
    <row r="70" spans="1:10" ht="15" hidden="1" customHeight="1" x14ac:dyDescent="0.2">
      <c r="A70" s="286"/>
      <c r="B70" s="288"/>
      <c r="C70" s="269" t="s">
        <v>84</v>
      </c>
      <c r="D70" s="292" t="s">
        <v>85</v>
      </c>
      <c r="E70" s="294"/>
      <c r="F70" s="276"/>
      <c r="G70" s="276">
        <f>26.46*1.055</f>
        <v>27.915299999999998</v>
      </c>
      <c r="H70" s="276"/>
      <c r="I70" s="275"/>
      <c r="J70" s="269"/>
    </row>
    <row r="71" spans="1:10" ht="15" hidden="1" customHeight="1" x14ac:dyDescent="0.2">
      <c r="A71" s="286"/>
      <c r="B71" s="288"/>
      <c r="C71" s="269"/>
      <c r="D71" s="293"/>
      <c r="E71" s="294"/>
      <c r="F71" s="276"/>
      <c r="G71" s="276"/>
      <c r="H71" s="276"/>
      <c r="I71" s="275"/>
      <c r="J71" s="269"/>
    </row>
    <row r="72" spans="1:10" ht="23.25" hidden="1" customHeight="1" x14ac:dyDescent="0.2">
      <c r="A72" s="286"/>
      <c r="B72" s="288"/>
      <c r="C72" s="15" t="s">
        <v>55</v>
      </c>
      <c r="D72" s="15" t="s">
        <v>79</v>
      </c>
      <c r="E72" s="16">
        <f>30*1.055</f>
        <v>31.65</v>
      </c>
      <c r="F72" s="17">
        <f>27.3*1.055</f>
        <v>28.801500000000001</v>
      </c>
      <c r="G72" s="17">
        <f>27.3*1.055</f>
        <v>28.801500000000001</v>
      </c>
      <c r="H72" s="17"/>
      <c r="I72" s="17"/>
      <c r="J72" s="15" t="s">
        <v>86</v>
      </c>
    </row>
    <row r="73" spans="1:10" ht="78.75" hidden="1" customHeight="1" x14ac:dyDescent="0.2">
      <c r="A73" s="287"/>
      <c r="B73" s="263"/>
      <c r="C73" s="15" t="s">
        <v>186</v>
      </c>
      <c r="D73" s="15" t="s">
        <v>65</v>
      </c>
      <c r="E73" s="16">
        <f>36*1.055</f>
        <v>37.979999999999997</v>
      </c>
      <c r="F73" s="17"/>
      <c r="G73" s="17"/>
      <c r="H73" s="17"/>
      <c r="I73" s="17"/>
      <c r="J73" s="15"/>
    </row>
    <row r="74" spans="1:10" ht="36.75" hidden="1" customHeight="1" x14ac:dyDescent="0.2">
      <c r="A74" s="18" t="s">
        <v>87</v>
      </c>
      <c r="B74" s="30" t="s">
        <v>88</v>
      </c>
      <c r="C74" s="15" t="s">
        <v>53</v>
      </c>
      <c r="D74" s="15" t="s">
        <v>65</v>
      </c>
      <c r="E74" s="16">
        <f>63*1.055</f>
        <v>66.464999999999989</v>
      </c>
      <c r="F74" s="17">
        <f>52.5*1.055</f>
        <v>55.387499999999996</v>
      </c>
      <c r="G74" s="17">
        <f>52.5*1.055</f>
        <v>55.387499999999996</v>
      </c>
      <c r="H74" s="17"/>
      <c r="I74" s="17"/>
      <c r="J74" s="15" t="s">
        <v>77</v>
      </c>
    </row>
    <row r="75" spans="1:10" ht="25.5" hidden="1" x14ac:dyDescent="0.2">
      <c r="A75" s="18" t="s">
        <v>89</v>
      </c>
      <c r="B75" s="30" t="s">
        <v>90</v>
      </c>
      <c r="C75" s="15" t="s">
        <v>53</v>
      </c>
      <c r="D75" s="15" t="s">
        <v>65</v>
      </c>
      <c r="E75" s="16">
        <f>63*1.055</f>
        <v>66.464999999999989</v>
      </c>
      <c r="F75" s="17">
        <f>57.75*1.055</f>
        <v>60.926249999999996</v>
      </c>
      <c r="G75" s="20">
        <f>32.55*1.055</f>
        <v>34.340249999999997</v>
      </c>
      <c r="H75" s="17"/>
      <c r="I75" s="17"/>
      <c r="J75" s="22" t="s">
        <v>91</v>
      </c>
    </row>
    <row r="76" spans="1:10" ht="37.5" hidden="1" customHeight="1" x14ac:dyDescent="0.2">
      <c r="A76" s="18" t="s">
        <v>92</v>
      </c>
      <c r="B76" s="30" t="s">
        <v>93</v>
      </c>
      <c r="C76" s="15" t="s">
        <v>53</v>
      </c>
      <c r="D76" s="15" t="s">
        <v>65</v>
      </c>
      <c r="E76" s="16">
        <f>45*1.055</f>
        <v>47.474999999999994</v>
      </c>
      <c r="F76" s="17">
        <f>47.25*1.055</f>
        <v>49.848749999999995</v>
      </c>
      <c r="G76" s="17">
        <f>32.55*1.055</f>
        <v>34.340249999999997</v>
      </c>
      <c r="H76" s="17"/>
      <c r="I76" s="17"/>
      <c r="J76" s="22" t="s">
        <v>91</v>
      </c>
    </row>
    <row r="77" spans="1:10" ht="36" hidden="1" customHeight="1" x14ac:dyDescent="0.2">
      <c r="A77" s="18" t="s">
        <v>94</v>
      </c>
      <c r="B77" s="30" t="s">
        <v>95</v>
      </c>
      <c r="C77" s="15" t="s">
        <v>53</v>
      </c>
      <c r="D77" s="15" t="s">
        <v>65</v>
      </c>
      <c r="E77" s="16">
        <f>42*1.055</f>
        <v>44.309999999999995</v>
      </c>
      <c r="F77" s="17">
        <f>32.55*1.055</f>
        <v>34.340249999999997</v>
      </c>
      <c r="G77" s="17">
        <f>32.55*1.055</f>
        <v>34.340249999999997</v>
      </c>
      <c r="H77" s="17"/>
      <c r="I77" s="17"/>
      <c r="J77" s="22" t="s">
        <v>91</v>
      </c>
    </row>
    <row r="78" spans="1:10" ht="25.5" hidden="1" x14ac:dyDescent="0.2">
      <c r="A78" s="18" t="s">
        <v>96</v>
      </c>
      <c r="B78" s="30" t="s">
        <v>97</v>
      </c>
      <c r="C78" s="15" t="s">
        <v>53</v>
      </c>
      <c r="D78" s="15" t="s">
        <v>65</v>
      </c>
      <c r="E78" s="16">
        <f>42*1.055</f>
        <v>44.309999999999995</v>
      </c>
      <c r="F78" s="17">
        <f>57.75*1.055</f>
        <v>60.926249999999996</v>
      </c>
      <c r="G78" s="20">
        <f>33.6*1.055</f>
        <v>35.448</v>
      </c>
      <c r="H78" s="17"/>
      <c r="I78" s="17"/>
      <c r="J78" s="22" t="s">
        <v>98</v>
      </c>
    </row>
    <row r="79" spans="1:10" hidden="1" x14ac:dyDescent="0.2">
      <c r="A79" s="270" t="s">
        <v>99</v>
      </c>
      <c r="B79" s="272" t="s">
        <v>100</v>
      </c>
      <c r="C79" s="15" t="s">
        <v>53</v>
      </c>
      <c r="D79" s="15" t="s">
        <v>65</v>
      </c>
      <c r="E79" s="16">
        <f>58*1.055</f>
        <v>61.19</v>
      </c>
      <c r="F79" s="17">
        <f>57.75*1.055</f>
        <v>60.926249999999996</v>
      </c>
      <c r="G79" s="17">
        <f>31.5*1.055</f>
        <v>33.232499999999995</v>
      </c>
      <c r="H79" s="17"/>
      <c r="I79" s="17"/>
      <c r="J79" s="273" t="s">
        <v>101</v>
      </c>
    </row>
    <row r="80" spans="1:10" hidden="1" x14ac:dyDescent="0.2">
      <c r="A80" s="270"/>
      <c r="B80" s="272"/>
      <c r="C80" s="269" t="s">
        <v>53</v>
      </c>
      <c r="D80" s="31" t="s">
        <v>102</v>
      </c>
      <c r="E80" s="294"/>
      <c r="F80" s="276">
        <f t="shared" ref="F80:F81" si="1">57.75*1.055</f>
        <v>60.926249999999996</v>
      </c>
      <c r="G80" s="276"/>
      <c r="H80" s="276"/>
      <c r="I80" s="275"/>
      <c r="J80" s="273"/>
    </row>
    <row r="81" spans="1:10" ht="41.25" hidden="1" customHeight="1" x14ac:dyDescent="0.2">
      <c r="A81" s="270"/>
      <c r="B81" s="272"/>
      <c r="C81" s="269"/>
      <c r="D81" s="31" t="s">
        <v>71</v>
      </c>
      <c r="E81" s="294"/>
      <c r="F81" s="276">
        <f t="shared" si="1"/>
        <v>60.926249999999996</v>
      </c>
      <c r="G81" s="276"/>
      <c r="H81" s="276"/>
      <c r="I81" s="275"/>
      <c r="J81" s="273"/>
    </row>
    <row r="82" spans="1:10" ht="44.25" hidden="1" customHeight="1" x14ac:dyDescent="0.2">
      <c r="A82" s="18" t="s">
        <v>103</v>
      </c>
      <c r="B82" s="30" t="s">
        <v>188</v>
      </c>
      <c r="C82" s="15" t="s">
        <v>53</v>
      </c>
      <c r="D82" s="15" t="s">
        <v>65</v>
      </c>
      <c r="E82" s="16">
        <f>63*1.055</f>
        <v>66.464999999999989</v>
      </c>
      <c r="F82" s="17">
        <f t="shared" ref="F82:G83" si="2">57.75*1.055</f>
        <v>60.926249999999996</v>
      </c>
      <c r="G82" s="17">
        <f t="shared" si="2"/>
        <v>60.926249999999996</v>
      </c>
      <c r="H82" s="17"/>
      <c r="I82" s="17"/>
      <c r="J82" s="22" t="s">
        <v>98</v>
      </c>
    </row>
    <row r="83" spans="1:10" hidden="1" x14ac:dyDescent="0.2">
      <c r="A83" s="270" t="s">
        <v>104</v>
      </c>
      <c r="B83" s="272" t="s">
        <v>105</v>
      </c>
      <c r="C83" s="262" t="s">
        <v>189</v>
      </c>
      <c r="D83" s="39" t="s">
        <v>65</v>
      </c>
      <c r="E83" s="16">
        <f>63*1.055</f>
        <v>66.464999999999989</v>
      </c>
      <c r="F83" s="17">
        <f t="shared" si="2"/>
        <v>60.926249999999996</v>
      </c>
      <c r="G83" s="17">
        <f t="shared" si="2"/>
        <v>60.926249999999996</v>
      </c>
      <c r="H83" s="17"/>
      <c r="I83" s="17"/>
      <c r="J83" s="22" t="s">
        <v>106</v>
      </c>
    </row>
    <row r="84" spans="1:10" ht="15.75" hidden="1" customHeight="1" x14ac:dyDescent="0.2">
      <c r="A84" s="270"/>
      <c r="B84" s="272"/>
      <c r="C84" s="288"/>
      <c r="D84" s="39" t="s">
        <v>69</v>
      </c>
      <c r="E84" s="280">
        <v>66.464999999999989</v>
      </c>
      <c r="F84" s="289">
        <v>60.926249999999996</v>
      </c>
      <c r="G84" s="276">
        <f>47.25*1.055</f>
        <v>49.848749999999995</v>
      </c>
      <c r="H84" s="276"/>
      <c r="I84" s="275"/>
      <c r="J84" s="273" t="s">
        <v>91</v>
      </c>
    </row>
    <row r="85" spans="1:10" ht="25.5" hidden="1" x14ac:dyDescent="0.2">
      <c r="A85" s="270"/>
      <c r="B85" s="272"/>
      <c r="C85" s="263"/>
      <c r="D85" s="40" t="s">
        <v>190</v>
      </c>
      <c r="E85" s="280"/>
      <c r="F85" s="290"/>
      <c r="G85" s="276"/>
      <c r="H85" s="276"/>
      <c r="I85" s="275"/>
      <c r="J85" s="273"/>
    </row>
    <row r="86" spans="1:10" ht="51" hidden="1" x14ac:dyDescent="0.2">
      <c r="A86" s="270"/>
      <c r="B86" s="272"/>
      <c r="C86" s="40" t="s">
        <v>191</v>
      </c>
      <c r="D86" s="40" t="s">
        <v>65</v>
      </c>
      <c r="E86" s="41">
        <f>63*1.055</f>
        <v>66.464999999999989</v>
      </c>
      <c r="F86" s="42"/>
      <c r="G86" s="17"/>
      <c r="H86" s="17"/>
      <c r="I86" s="33"/>
      <c r="J86" s="22"/>
    </row>
    <row r="87" spans="1:10" hidden="1" x14ac:dyDescent="0.2">
      <c r="A87" s="270"/>
      <c r="B87" s="272"/>
      <c r="C87" s="326" t="s">
        <v>55</v>
      </c>
      <c r="D87" s="43" t="s">
        <v>79</v>
      </c>
      <c r="E87" s="23"/>
      <c r="F87" s="17">
        <f>27.3*1.055</f>
        <v>28.801500000000001</v>
      </c>
      <c r="G87" s="17">
        <f>27.3*1.055</f>
        <v>28.801500000000001</v>
      </c>
      <c r="H87" s="17">
        <f>27.3*1.055</f>
        <v>28.801500000000001</v>
      </c>
      <c r="I87" s="17"/>
      <c r="J87" s="273" t="s">
        <v>86</v>
      </c>
    </row>
    <row r="88" spans="1:10" hidden="1" x14ac:dyDescent="0.2">
      <c r="A88" s="270"/>
      <c r="B88" s="272"/>
      <c r="C88" s="327"/>
      <c r="D88" s="37" t="s">
        <v>107</v>
      </c>
      <c r="E88" s="291"/>
      <c r="F88" s="276">
        <f>35.7*1.055</f>
        <v>37.663499999999999</v>
      </c>
      <c r="G88" s="276">
        <f>35.7*1.055</f>
        <v>37.663499999999999</v>
      </c>
      <c r="H88" s="276">
        <f>35.7*1.055</f>
        <v>37.663499999999999</v>
      </c>
      <c r="I88" s="275"/>
      <c r="J88" s="273"/>
    </row>
    <row r="89" spans="1:10" ht="61.5" hidden="1" customHeight="1" x14ac:dyDescent="0.2">
      <c r="A89" s="270"/>
      <c r="B89" s="272"/>
      <c r="C89" s="327"/>
      <c r="D89" s="43" t="s">
        <v>81</v>
      </c>
      <c r="E89" s="291"/>
      <c r="F89" s="276"/>
      <c r="G89" s="276"/>
      <c r="H89" s="276"/>
      <c r="I89" s="275"/>
      <c r="J89" s="273"/>
    </row>
    <row r="90" spans="1:10" hidden="1" x14ac:dyDescent="0.2">
      <c r="A90" s="270"/>
      <c r="B90" s="272"/>
      <c r="C90" s="327"/>
      <c r="D90" s="37" t="s">
        <v>65</v>
      </c>
      <c r="E90" s="291"/>
      <c r="F90" s="276">
        <f>27.3*1.055</f>
        <v>28.801500000000001</v>
      </c>
      <c r="G90" s="276">
        <f>27.3*1.055</f>
        <v>28.801500000000001</v>
      </c>
      <c r="H90" s="276"/>
      <c r="I90" s="275"/>
      <c r="J90" s="273"/>
    </row>
    <row r="91" spans="1:10" ht="54" hidden="1" customHeight="1" x14ac:dyDescent="0.2">
      <c r="A91" s="270"/>
      <c r="B91" s="272"/>
      <c r="C91" s="328"/>
      <c r="D91" s="38" t="s">
        <v>108</v>
      </c>
      <c r="E91" s="291"/>
      <c r="F91" s="276"/>
      <c r="G91" s="276"/>
      <c r="H91" s="276"/>
      <c r="I91" s="275"/>
      <c r="J91" s="273"/>
    </row>
    <row r="92" spans="1:10" ht="63" hidden="1" customHeight="1" x14ac:dyDescent="0.2">
      <c r="A92" s="18" t="s">
        <v>109</v>
      </c>
      <c r="B92" s="30" t="s">
        <v>110</v>
      </c>
      <c r="C92" s="15" t="s">
        <v>53</v>
      </c>
      <c r="D92" s="40" t="s">
        <v>65</v>
      </c>
      <c r="E92" s="16">
        <f>63*1.055</f>
        <v>66.464999999999989</v>
      </c>
      <c r="F92" s="17">
        <f t="shared" ref="F92:G93" si="3">57.75*1.055</f>
        <v>60.926249999999996</v>
      </c>
      <c r="G92" s="17">
        <f t="shared" si="3"/>
        <v>60.926249999999996</v>
      </c>
      <c r="H92" s="17"/>
      <c r="I92" s="17"/>
      <c r="J92" s="22" t="s">
        <v>98</v>
      </c>
    </row>
    <row r="93" spans="1:10" hidden="1" x14ac:dyDescent="0.2">
      <c r="A93" s="270" t="s">
        <v>111</v>
      </c>
      <c r="B93" s="272" t="s">
        <v>112</v>
      </c>
      <c r="C93" s="15" t="s">
        <v>53</v>
      </c>
      <c r="D93" s="15" t="s">
        <v>65</v>
      </c>
      <c r="E93" s="16">
        <f>63*1.055</f>
        <v>66.464999999999989</v>
      </c>
      <c r="F93" s="17">
        <f t="shared" si="3"/>
        <v>60.926249999999996</v>
      </c>
      <c r="G93" s="17">
        <f t="shared" si="3"/>
        <v>60.926249999999996</v>
      </c>
      <c r="H93" s="17"/>
      <c r="I93" s="17"/>
      <c r="J93" s="273" t="s">
        <v>113</v>
      </c>
    </row>
    <row r="94" spans="1:10" hidden="1" x14ac:dyDescent="0.2">
      <c r="A94" s="270"/>
      <c r="B94" s="272"/>
      <c r="C94" s="269" t="s">
        <v>53</v>
      </c>
      <c r="D94" s="15" t="s">
        <v>69</v>
      </c>
      <c r="E94" s="278">
        <f>63*1.055</f>
        <v>66.464999999999989</v>
      </c>
      <c r="F94" s="276">
        <f>47.25*1.055</f>
        <v>49.848749999999995</v>
      </c>
      <c r="G94" s="276"/>
      <c r="H94" s="276"/>
      <c r="I94" s="275"/>
      <c r="J94" s="273"/>
    </row>
    <row r="95" spans="1:10" ht="45" hidden="1" customHeight="1" x14ac:dyDescent="0.2">
      <c r="A95" s="270"/>
      <c r="B95" s="272"/>
      <c r="C95" s="269"/>
      <c r="D95" s="40" t="s">
        <v>190</v>
      </c>
      <c r="E95" s="278"/>
      <c r="F95" s="276"/>
      <c r="G95" s="276"/>
      <c r="H95" s="276"/>
      <c r="I95" s="275"/>
      <c r="J95" s="273"/>
    </row>
    <row r="96" spans="1:10" ht="19.5" hidden="1" customHeight="1" x14ac:dyDescent="0.2">
      <c r="A96" s="270"/>
      <c r="B96" s="272"/>
      <c r="C96" s="15" t="s">
        <v>55</v>
      </c>
      <c r="D96" s="39" t="s">
        <v>79</v>
      </c>
      <c r="E96" s="16">
        <f>30*1.055</f>
        <v>31.65</v>
      </c>
      <c r="F96" s="17">
        <f>27.3*1.055</f>
        <v>28.801500000000001</v>
      </c>
      <c r="G96" s="17">
        <f>27.3*1.055</f>
        <v>28.801500000000001</v>
      </c>
      <c r="H96" s="17">
        <f>27.3*1.055</f>
        <v>28.801500000000001</v>
      </c>
      <c r="I96" s="17"/>
      <c r="J96" s="273" t="s">
        <v>86</v>
      </c>
    </row>
    <row r="97" spans="1:10" ht="15.75" hidden="1" customHeight="1" x14ac:dyDescent="0.2">
      <c r="A97" s="270"/>
      <c r="B97" s="272"/>
      <c r="C97" s="281" t="s">
        <v>55</v>
      </c>
      <c r="D97" s="34" t="s">
        <v>107</v>
      </c>
      <c r="E97" s="282"/>
      <c r="F97" s="276">
        <f>35.7*1.055</f>
        <v>37.663499999999999</v>
      </c>
      <c r="G97" s="276">
        <f>35.7*1.055</f>
        <v>37.663499999999999</v>
      </c>
      <c r="H97" s="276">
        <f>35.7*1.055</f>
        <v>37.663499999999999</v>
      </c>
      <c r="I97" s="276"/>
      <c r="J97" s="273"/>
    </row>
    <row r="98" spans="1:10" ht="30" hidden="1" customHeight="1" x14ac:dyDescent="0.2">
      <c r="A98" s="270"/>
      <c r="B98" s="272"/>
      <c r="C98" s="281"/>
      <c r="D98" s="44" t="s">
        <v>81</v>
      </c>
      <c r="E98" s="282"/>
      <c r="F98" s="276"/>
      <c r="G98" s="276"/>
      <c r="H98" s="276"/>
      <c r="I98" s="276"/>
      <c r="J98" s="273"/>
    </row>
    <row r="99" spans="1:10" ht="52.5" hidden="1" customHeight="1" x14ac:dyDescent="0.2">
      <c r="A99" s="18" t="s">
        <v>114</v>
      </c>
      <c r="B99" s="30" t="s">
        <v>115</v>
      </c>
      <c r="C99" s="15" t="s">
        <v>53</v>
      </c>
      <c r="D99" s="40" t="s">
        <v>65</v>
      </c>
      <c r="E99" s="45">
        <f>63*1.055</f>
        <v>66.464999999999989</v>
      </c>
      <c r="F99" s="17">
        <f>32.55*1.055</f>
        <v>34.340249999999997</v>
      </c>
      <c r="G99" s="17">
        <f>32.55*1.055</f>
        <v>34.340249999999997</v>
      </c>
      <c r="H99" s="17"/>
      <c r="I99" s="17"/>
      <c r="J99" s="22" t="s">
        <v>98</v>
      </c>
    </row>
    <row r="100" spans="1:10" ht="38.25" hidden="1" x14ac:dyDescent="0.2">
      <c r="A100" s="18" t="s">
        <v>116</v>
      </c>
      <c r="B100" s="30" t="s">
        <v>117</v>
      </c>
      <c r="C100" s="15" t="s">
        <v>53</v>
      </c>
      <c r="D100" s="15" t="s">
        <v>65</v>
      </c>
      <c r="E100" s="16">
        <f>63*1.055</f>
        <v>66.464999999999989</v>
      </c>
      <c r="F100" s="17">
        <f t="shared" ref="F100:G103" si="4">57.75*1.055</f>
        <v>60.926249999999996</v>
      </c>
      <c r="G100" s="17">
        <f t="shared" si="4"/>
        <v>60.926249999999996</v>
      </c>
      <c r="H100" s="17"/>
      <c r="I100" s="17"/>
      <c r="J100" s="22" t="s">
        <v>91</v>
      </c>
    </row>
    <row r="101" spans="1:10" hidden="1" x14ac:dyDescent="0.2">
      <c r="A101" s="270" t="s">
        <v>118</v>
      </c>
      <c r="B101" s="272" t="s">
        <v>119</v>
      </c>
      <c r="C101" s="15" t="s">
        <v>53</v>
      </c>
      <c r="D101" s="39" t="s">
        <v>65</v>
      </c>
      <c r="E101" s="16">
        <f>63*1.055</f>
        <v>66.464999999999989</v>
      </c>
      <c r="F101" s="17">
        <f t="shared" si="4"/>
        <v>60.926249999999996</v>
      </c>
      <c r="G101" s="17">
        <f t="shared" si="4"/>
        <v>60.926249999999996</v>
      </c>
      <c r="H101" s="17"/>
      <c r="I101" s="17"/>
      <c r="J101" s="273" t="s">
        <v>113</v>
      </c>
    </row>
    <row r="102" spans="1:10" hidden="1" x14ac:dyDescent="0.2">
      <c r="A102" s="270"/>
      <c r="B102" s="272"/>
      <c r="C102" s="279" t="s">
        <v>53</v>
      </c>
      <c r="D102" s="39" t="s">
        <v>102</v>
      </c>
      <c r="E102" s="280">
        <f>68*1.055</f>
        <v>71.739999999999995</v>
      </c>
      <c r="F102" s="283">
        <f t="shared" si="4"/>
        <v>60.926249999999996</v>
      </c>
      <c r="G102" s="276">
        <f>47.25*1.055</f>
        <v>49.848749999999995</v>
      </c>
      <c r="H102" s="276"/>
      <c r="I102" s="276"/>
      <c r="J102" s="273"/>
    </row>
    <row r="103" spans="1:10" ht="25.5" hidden="1" x14ac:dyDescent="0.2">
      <c r="A103" s="270"/>
      <c r="B103" s="272"/>
      <c r="C103" s="279"/>
      <c r="D103" s="40" t="s">
        <v>190</v>
      </c>
      <c r="E103" s="280"/>
      <c r="F103" s="284">
        <f t="shared" si="4"/>
        <v>60.926249999999996</v>
      </c>
      <c r="G103" s="276"/>
      <c r="H103" s="276"/>
      <c r="I103" s="276"/>
      <c r="J103" s="273"/>
    </row>
    <row r="104" spans="1:10" hidden="1" x14ac:dyDescent="0.2">
      <c r="A104" s="270"/>
      <c r="B104" s="272"/>
      <c r="C104" s="15" t="s">
        <v>55</v>
      </c>
      <c r="D104" s="46" t="s">
        <v>79</v>
      </c>
      <c r="E104" s="16"/>
      <c r="F104" s="17">
        <f>27.3*1.055</f>
        <v>28.801500000000001</v>
      </c>
      <c r="G104" s="17">
        <f>27.3*1.055</f>
        <v>28.801500000000001</v>
      </c>
      <c r="H104" s="17">
        <f>27.3*1.055</f>
        <v>28.801500000000001</v>
      </c>
      <c r="I104" s="17"/>
      <c r="J104" s="273" t="s">
        <v>86</v>
      </c>
    </row>
    <row r="105" spans="1:10" hidden="1" x14ac:dyDescent="0.2">
      <c r="A105" s="270"/>
      <c r="B105" s="272"/>
      <c r="C105" s="281" t="s">
        <v>55</v>
      </c>
      <c r="D105" s="34" t="s">
        <v>120</v>
      </c>
      <c r="E105" s="282"/>
      <c r="F105" s="276">
        <f>35.7*1.055</f>
        <v>37.663499999999999</v>
      </c>
      <c r="G105" s="276">
        <f>35.7*1.055</f>
        <v>37.663499999999999</v>
      </c>
      <c r="H105" s="276">
        <f>35.7*1.055</f>
        <v>37.663499999999999</v>
      </c>
      <c r="I105" s="276"/>
      <c r="J105" s="273"/>
    </row>
    <row r="106" spans="1:10" ht="30" hidden="1" customHeight="1" x14ac:dyDescent="0.2">
      <c r="A106" s="270"/>
      <c r="B106" s="272"/>
      <c r="C106" s="281"/>
      <c r="D106" s="44" t="s">
        <v>81</v>
      </c>
      <c r="E106" s="282"/>
      <c r="F106" s="276"/>
      <c r="G106" s="276"/>
      <c r="H106" s="276"/>
      <c r="I106" s="276"/>
      <c r="J106" s="273"/>
    </row>
    <row r="107" spans="1:10" ht="25.5" hidden="1" x14ac:dyDescent="0.2">
      <c r="A107" s="18" t="s">
        <v>121</v>
      </c>
      <c r="B107" s="30" t="s">
        <v>122</v>
      </c>
      <c r="C107" s="15" t="s">
        <v>53</v>
      </c>
      <c r="D107" s="40" t="s">
        <v>65</v>
      </c>
      <c r="E107" s="16">
        <f>63*1.055</f>
        <v>66.464999999999989</v>
      </c>
      <c r="F107" s="17">
        <f>57.75*1.055</f>
        <v>60.926249999999996</v>
      </c>
      <c r="G107" s="17">
        <f>57.75*1.055</f>
        <v>60.926249999999996</v>
      </c>
      <c r="H107" s="17"/>
      <c r="I107" s="17"/>
      <c r="J107" s="22" t="s">
        <v>91</v>
      </c>
    </row>
    <row r="108" spans="1:10" hidden="1" x14ac:dyDescent="0.2">
      <c r="A108" s="47" t="s">
        <v>164</v>
      </c>
      <c r="B108" s="265" t="s">
        <v>123</v>
      </c>
      <c r="C108" s="265"/>
      <c r="D108" s="265"/>
      <c r="E108" s="265"/>
      <c r="F108" s="265"/>
      <c r="G108" s="265"/>
      <c r="H108" s="265"/>
      <c r="I108" s="265"/>
      <c r="J108" s="265"/>
    </row>
    <row r="109" spans="1:10" ht="25.5" hidden="1" x14ac:dyDescent="0.2">
      <c r="A109" s="18" t="s">
        <v>124</v>
      </c>
      <c r="B109" s="30" t="s">
        <v>125</v>
      </c>
      <c r="C109" s="15" t="s">
        <v>53</v>
      </c>
      <c r="D109" s="15" t="s">
        <v>79</v>
      </c>
      <c r="E109" s="16"/>
      <c r="F109" s="17"/>
      <c r="G109" s="17"/>
      <c r="H109" s="17"/>
      <c r="I109" s="17"/>
      <c r="J109" s="22" t="s">
        <v>70</v>
      </c>
    </row>
    <row r="110" spans="1:10" hidden="1" x14ac:dyDescent="0.2">
      <c r="A110" s="18" t="s">
        <v>126</v>
      </c>
      <c r="B110" s="30" t="s">
        <v>127</v>
      </c>
      <c r="C110" s="15" t="s">
        <v>53</v>
      </c>
      <c r="D110" s="15" t="s">
        <v>79</v>
      </c>
      <c r="E110" s="16"/>
      <c r="F110" s="17"/>
      <c r="G110" s="17"/>
      <c r="H110" s="17"/>
      <c r="I110" s="17"/>
      <c r="J110" s="22" t="s">
        <v>70</v>
      </c>
    </row>
    <row r="111" spans="1:10" hidden="1" x14ac:dyDescent="0.2">
      <c r="A111" s="270" t="s">
        <v>128</v>
      </c>
      <c r="B111" s="272" t="s">
        <v>129</v>
      </c>
      <c r="C111" s="15" t="s">
        <v>53</v>
      </c>
      <c r="D111" s="15" t="s">
        <v>79</v>
      </c>
      <c r="E111" s="16"/>
      <c r="F111" s="17"/>
      <c r="G111" s="17"/>
      <c r="H111" s="17"/>
      <c r="I111" s="17"/>
      <c r="J111" s="273" t="s">
        <v>77</v>
      </c>
    </row>
    <row r="112" spans="1:10" hidden="1" x14ac:dyDescent="0.2">
      <c r="A112" s="270"/>
      <c r="B112" s="272"/>
      <c r="C112" s="269" t="s">
        <v>78</v>
      </c>
      <c r="D112" s="15" t="s">
        <v>130</v>
      </c>
      <c r="E112" s="278"/>
      <c r="F112" s="276"/>
      <c r="G112" s="276"/>
      <c r="H112" s="276"/>
      <c r="I112" s="276"/>
      <c r="J112" s="273"/>
    </row>
    <row r="113" spans="1:10" ht="25.5" hidden="1" x14ac:dyDescent="0.2">
      <c r="A113" s="270"/>
      <c r="B113" s="272"/>
      <c r="C113" s="269"/>
      <c r="D113" s="15" t="s">
        <v>108</v>
      </c>
      <c r="E113" s="278"/>
      <c r="F113" s="276"/>
      <c r="G113" s="276"/>
      <c r="H113" s="276"/>
      <c r="I113" s="276"/>
      <c r="J113" s="273"/>
    </row>
    <row r="114" spans="1:10" ht="64.5" hidden="1" customHeight="1" x14ac:dyDescent="0.2">
      <c r="A114" s="270"/>
      <c r="B114" s="272"/>
      <c r="C114" s="15" t="s">
        <v>55</v>
      </c>
      <c r="D114" s="15" t="s">
        <v>131</v>
      </c>
      <c r="E114" s="16"/>
      <c r="F114" s="17"/>
      <c r="G114" s="17"/>
      <c r="H114" s="17"/>
      <c r="I114" s="17">
        <f>1.055*27.3</f>
        <v>28.801500000000001</v>
      </c>
      <c r="J114" s="22" t="s">
        <v>86</v>
      </c>
    </row>
    <row r="115" spans="1:10" ht="51" hidden="1" x14ac:dyDescent="0.2">
      <c r="A115" s="18">
        <v>210201</v>
      </c>
      <c r="B115" s="30" t="s">
        <v>132</v>
      </c>
      <c r="C115" s="15" t="s">
        <v>53</v>
      </c>
      <c r="D115" s="15" t="s">
        <v>79</v>
      </c>
      <c r="E115" s="16"/>
      <c r="F115" s="17"/>
      <c r="G115" s="17"/>
      <c r="H115" s="17"/>
      <c r="I115" s="17"/>
      <c r="J115" s="22" t="s">
        <v>98</v>
      </c>
    </row>
    <row r="116" spans="1:10" hidden="1" x14ac:dyDescent="0.2">
      <c r="A116" s="18" t="s">
        <v>153</v>
      </c>
      <c r="B116" s="30" t="s">
        <v>133</v>
      </c>
      <c r="C116" s="15" t="s">
        <v>53</v>
      </c>
      <c r="D116" s="15" t="s">
        <v>79</v>
      </c>
      <c r="E116" s="16"/>
      <c r="F116" s="17"/>
      <c r="G116" s="17"/>
      <c r="H116" s="17"/>
      <c r="I116" s="17"/>
      <c r="J116" s="22" t="s">
        <v>98</v>
      </c>
    </row>
    <row r="117" spans="1:10" ht="25.5" hidden="1" x14ac:dyDescent="0.2">
      <c r="A117" s="18">
        <v>210312</v>
      </c>
      <c r="B117" s="30" t="s">
        <v>134</v>
      </c>
      <c r="C117" s="15" t="s">
        <v>53</v>
      </c>
      <c r="D117" s="15" t="s">
        <v>79</v>
      </c>
      <c r="E117" s="16"/>
      <c r="F117" s="17"/>
      <c r="G117" s="17"/>
      <c r="H117" s="17"/>
      <c r="I117" s="17"/>
      <c r="J117" s="22" t="s">
        <v>98</v>
      </c>
    </row>
    <row r="118" spans="1:10" ht="25.5" hidden="1" x14ac:dyDescent="0.2">
      <c r="A118" s="18">
        <v>210401</v>
      </c>
      <c r="B118" s="30" t="s">
        <v>135</v>
      </c>
      <c r="C118" s="15" t="s">
        <v>53</v>
      </c>
      <c r="D118" s="15" t="s">
        <v>79</v>
      </c>
      <c r="E118" s="16"/>
      <c r="F118" s="17"/>
      <c r="G118" s="17"/>
      <c r="H118" s="17"/>
      <c r="I118" s="17"/>
      <c r="J118" s="22" t="s">
        <v>91</v>
      </c>
    </row>
    <row r="119" spans="1:10" ht="48" hidden="1" customHeight="1" x14ac:dyDescent="0.2">
      <c r="A119" s="18" t="s">
        <v>154</v>
      </c>
      <c r="B119" s="30" t="s">
        <v>56</v>
      </c>
      <c r="C119" s="15" t="s">
        <v>53</v>
      </c>
      <c r="D119" s="15" t="s">
        <v>79</v>
      </c>
      <c r="E119" s="16"/>
      <c r="F119" s="17"/>
      <c r="G119" s="17"/>
      <c r="H119" s="17"/>
      <c r="I119" s="17"/>
      <c r="J119" s="22" t="s">
        <v>98</v>
      </c>
    </row>
    <row r="120" spans="1:10" ht="25.5" hidden="1" x14ac:dyDescent="0.2">
      <c r="A120" s="18">
        <v>210403</v>
      </c>
      <c r="B120" s="30" t="s">
        <v>136</v>
      </c>
      <c r="C120" s="15" t="s">
        <v>53</v>
      </c>
      <c r="D120" s="15" t="s">
        <v>79</v>
      </c>
      <c r="E120" s="16"/>
      <c r="F120" s="17"/>
      <c r="G120" s="17"/>
      <c r="H120" s="17"/>
      <c r="I120" s="17"/>
      <c r="J120" s="22" t="s">
        <v>91</v>
      </c>
    </row>
    <row r="121" spans="1:10" ht="31.5" hidden="1" customHeight="1" x14ac:dyDescent="0.2">
      <c r="A121" s="270" t="s">
        <v>155</v>
      </c>
      <c r="B121" s="272" t="s">
        <v>52</v>
      </c>
      <c r="C121" s="15" t="s">
        <v>53</v>
      </c>
      <c r="D121" s="15" t="s">
        <v>79</v>
      </c>
      <c r="E121" s="16"/>
      <c r="F121" s="17"/>
      <c r="G121" s="17"/>
      <c r="H121" s="17"/>
      <c r="I121" s="17"/>
      <c r="J121" s="22" t="s">
        <v>91</v>
      </c>
    </row>
    <row r="122" spans="1:10" hidden="1" x14ac:dyDescent="0.2">
      <c r="A122" s="270"/>
      <c r="B122" s="272"/>
      <c r="C122" s="15" t="s">
        <v>78</v>
      </c>
      <c r="D122" s="15" t="s">
        <v>131</v>
      </c>
      <c r="E122" s="16"/>
      <c r="F122" s="17"/>
      <c r="G122" s="17"/>
      <c r="H122" s="17"/>
      <c r="I122" s="17">
        <f>1.055*29.4</f>
        <v>31.016999999999996</v>
      </c>
      <c r="J122" s="273" t="s">
        <v>86</v>
      </c>
    </row>
    <row r="123" spans="1:10" hidden="1" x14ac:dyDescent="0.2">
      <c r="A123" s="270"/>
      <c r="B123" s="272"/>
      <c r="C123" s="262" t="s">
        <v>55</v>
      </c>
      <c r="D123" s="15" t="s">
        <v>131</v>
      </c>
      <c r="E123" s="16"/>
      <c r="F123" s="17"/>
      <c r="G123" s="17"/>
      <c r="H123" s="17"/>
      <c r="I123" s="17">
        <f>1.055*27.3</f>
        <v>28.801500000000001</v>
      </c>
      <c r="J123" s="273"/>
    </row>
    <row r="124" spans="1:10" hidden="1" x14ac:dyDescent="0.2">
      <c r="A124" s="270"/>
      <c r="B124" s="272"/>
      <c r="C124" s="288"/>
      <c r="D124" s="15" t="s">
        <v>137</v>
      </c>
      <c r="E124" s="274"/>
      <c r="F124" s="275"/>
      <c r="G124" s="275"/>
      <c r="H124" s="276"/>
      <c r="I124" s="276">
        <f>35.7*1.055</f>
        <v>37.663499999999999</v>
      </c>
      <c r="J124" s="273"/>
    </row>
    <row r="125" spans="1:10" ht="30" hidden="1" customHeight="1" x14ac:dyDescent="0.2">
      <c r="A125" s="270"/>
      <c r="B125" s="272"/>
      <c r="C125" s="263"/>
      <c r="D125" s="15" t="s">
        <v>81</v>
      </c>
      <c r="E125" s="274"/>
      <c r="F125" s="275"/>
      <c r="G125" s="275"/>
      <c r="H125" s="276"/>
      <c r="I125" s="276"/>
      <c r="J125" s="273"/>
    </row>
    <row r="126" spans="1:10" hidden="1" x14ac:dyDescent="0.2">
      <c r="A126" s="270"/>
      <c r="B126" s="272"/>
      <c r="C126" s="269" t="s">
        <v>55</v>
      </c>
      <c r="D126" s="15" t="s">
        <v>138</v>
      </c>
      <c r="E126" s="274"/>
      <c r="F126" s="275"/>
      <c r="G126" s="275"/>
      <c r="H126" s="276"/>
      <c r="I126" s="276"/>
      <c r="J126" s="273"/>
    </row>
    <row r="127" spans="1:10" ht="36" hidden="1" customHeight="1" x14ac:dyDescent="0.2">
      <c r="A127" s="270"/>
      <c r="B127" s="272"/>
      <c r="C127" s="269"/>
      <c r="D127" s="15" t="s">
        <v>71</v>
      </c>
      <c r="E127" s="274"/>
      <c r="F127" s="275"/>
      <c r="G127" s="275"/>
      <c r="H127" s="276"/>
      <c r="I127" s="276"/>
      <c r="J127" s="273"/>
    </row>
    <row r="128" spans="1:10" ht="24.75" hidden="1" customHeight="1" x14ac:dyDescent="0.2">
      <c r="A128" s="270" t="s">
        <v>156</v>
      </c>
      <c r="B128" s="272" t="s">
        <v>32</v>
      </c>
      <c r="C128" s="15" t="s">
        <v>53</v>
      </c>
      <c r="D128" s="15" t="s">
        <v>79</v>
      </c>
      <c r="E128" s="16"/>
      <c r="F128" s="17"/>
      <c r="G128" s="17"/>
      <c r="H128" s="17"/>
      <c r="I128" s="17"/>
      <c r="J128" s="22" t="s">
        <v>98</v>
      </c>
    </row>
    <row r="129" spans="1:10" ht="46.5" hidden="1" customHeight="1" x14ac:dyDescent="0.2">
      <c r="A129" s="270"/>
      <c r="B129" s="272"/>
      <c r="C129" s="15" t="s">
        <v>55</v>
      </c>
      <c r="D129" s="15" t="s">
        <v>131</v>
      </c>
      <c r="E129" s="16"/>
      <c r="F129" s="17"/>
      <c r="G129" s="17"/>
      <c r="H129" s="17"/>
      <c r="I129" s="17">
        <f>1.055*27.3</f>
        <v>28.801500000000001</v>
      </c>
      <c r="J129" s="22" t="s">
        <v>86</v>
      </c>
    </row>
    <row r="130" spans="1:10" hidden="1" x14ac:dyDescent="0.2">
      <c r="A130" s="270" t="s">
        <v>157</v>
      </c>
      <c r="B130" s="272" t="s">
        <v>34</v>
      </c>
      <c r="C130" s="15" t="s">
        <v>53</v>
      </c>
      <c r="D130" s="15" t="s">
        <v>139</v>
      </c>
      <c r="E130" s="16"/>
      <c r="F130" s="17"/>
      <c r="G130" s="17"/>
      <c r="H130" s="17"/>
      <c r="I130" s="17"/>
      <c r="J130" s="22" t="s">
        <v>91</v>
      </c>
    </row>
    <row r="131" spans="1:10" ht="30" hidden="1" customHeight="1" x14ac:dyDescent="0.2">
      <c r="A131" s="270"/>
      <c r="B131" s="272"/>
      <c r="C131" s="15" t="s">
        <v>78</v>
      </c>
      <c r="D131" s="15" t="s">
        <v>131</v>
      </c>
      <c r="E131" s="16"/>
      <c r="F131" s="17"/>
      <c r="G131" s="17"/>
      <c r="H131" s="17"/>
      <c r="I131" s="17">
        <f>1.055*29.4</f>
        <v>31.016999999999996</v>
      </c>
      <c r="J131" s="273" t="s">
        <v>86</v>
      </c>
    </row>
    <row r="132" spans="1:10" ht="18.75" hidden="1" customHeight="1" x14ac:dyDescent="0.2">
      <c r="A132" s="270"/>
      <c r="B132" s="272"/>
      <c r="C132" s="262" t="s">
        <v>55</v>
      </c>
      <c r="D132" s="39" t="s">
        <v>131</v>
      </c>
      <c r="E132" s="16"/>
      <c r="F132" s="17"/>
      <c r="G132" s="17"/>
      <c r="H132" s="17"/>
      <c r="I132" s="17">
        <f>1.055*27.3</f>
        <v>28.801500000000001</v>
      </c>
      <c r="J132" s="273"/>
    </row>
    <row r="133" spans="1:10" ht="17.25" hidden="1" customHeight="1" x14ac:dyDescent="0.2">
      <c r="A133" s="270"/>
      <c r="B133" s="272"/>
      <c r="C133" s="288"/>
      <c r="D133" s="39" t="s">
        <v>137</v>
      </c>
      <c r="E133" s="277"/>
      <c r="F133" s="275"/>
      <c r="G133" s="275"/>
      <c r="H133" s="276"/>
      <c r="I133" s="276">
        <f>35.7*1.055</f>
        <v>37.663499999999999</v>
      </c>
      <c r="J133" s="273"/>
    </row>
    <row r="134" spans="1:10" ht="27.75" hidden="1" customHeight="1" x14ac:dyDescent="0.2">
      <c r="A134" s="270"/>
      <c r="B134" s="272"/>
      <c r="C134" s="263"/>
      <c r="D134" s="40" t="s">
        <v>81</v>
      </c>
      <c r="E134" s="277"/>
      <c r="F134" s="275"/>
      <c r="G134" s="275"/>
      <c r="H134" s="276"/>
      <c r="I134" s="276"/>
      <c r="J134" s="273"/>
    </row>
    <row r="135" spans="1:10" ht="16.5" hidden="1" customHeight="1" x14ac:dyDescent="0.2">
      <c r="A135" s="270"/>
      <c r="B135" s="272"/>
      <c r="C135" s="269" t="s">
        <v>55</v>
      </c>
      <c r="D135" s="40" t="s">
        <v>140</v>
      </c>
      <c r="E135" s="274"/>
      <c r="F135" s="275"/>
      <c r="G135" s="275"/>
      <c r="H135" s="276"/>
      <c r="I135" s="276"/>
      <c r="J135" s="273"/>
    </row>
    <row r="136" spans="1:10" ht="33.75" hidden="1" customHeight="1" x14ac:dyDescent="0.2">
      <c r="A136" s="270"/>
      <c r="B136" s="272"/>
      <c r="C136" s="269"/>
      <c r="D136" s="15" t="s">
        <v>71</v>
      </c>
      <c r="E136" s="274"/>
      <c r="F136" s="275"/>
      <c r="G136" s="275"/>
      <c r="H136" s="276"/>
      <c r="I136" s="276"/>
      <c r="J136" s="273"/>
    </row>
    <row r="137" spans="1:10" s="53" customFormat="1" ht="60" hidden="1" customHeight="1" x14ac:dyDescent="0.2">
      <c r="A137" s="48" t="s">
        <v>158</v>
      </c>
      <c r="B137" s="49" t="s">
        <v>141</v>
      </c>
      <c r="C137" s="50" t="s">
        <v>53</v>
      </c>
      <c r="D137" s="50" t="s">
        <v>79</v>
      </c>
      <c r="E137" s="51">
        <f>53*1.055</f>
        <v>55.914999999999999</v>
      </c>
      <c r="F137" s="52">
        <f>48.3*1.055</f>
        <v>50.956499999999991</v>
      </c>
      <c r="G137" s="52">
        <f>48.3*1.055</f>
        <v>50.956499999999991</v>
      </c>
      <c r="H137" s="52"/>
      <c r="I137" s="52"/>
      <c r="J137" s="50" t="s">
        <v>66</v>
      </c>
    </row>
    <row r="138" spans="1:10" hidden="1" x14ac:dyDescent="0.2">
      <c r="A138" s="270" t="s">
        <v>159</v>
      </c>
      <c r="B138" s="272" t="s">
        <v>142</v>
      </c>
      <c r="C138" s="15" t="s">
        <v>53</v>
      </c>
      <c r="D138" s="15" t="s">
        <v>79</v>
      </c>
      <c r="E138" s="16"/>
      <c r="F138" s="17"/>
      <c r="G138" s="17"/>
      <c r="H138" s="17"/>
      <c r="I138" s="17"/>
      <c r="J138" s="22" t="s">
        <v>113</v>
      </c>
    </row>
    <row r="139" spans="1:10" hidden="1" x14ac:dyDescent="0.2">
      <c r="A139" s="270"/>
      <c r="B139" s="272"/>
      <c r="C139" s="262" t="s">
        <v>55</v>
      </c>
      <c r="D139" s="39" t="s">
        <v>131</v>
      </c>
      <c r="E139" s="16"/>
      <c r="F139" s="17"/>
      <c r="G139" s="17"/>
      <c r="H139" s="17"/>
      <c r="I139" s="17">
        <f>1.055*27.3</f>
        <v>28.801500000000001</v>
      </c>
      <c r="J139" s="273" t="s">
        <v>86</v>
      </c>
    </row>
    <row r="140" spans="1:10" hidden="1" x14ac:dyDescent="0.2">
      <c r="A140" s="270"/>
      <c r="B140" s="272"/>
      <c r="C140" s="288"/>
      <c r="D140" s="39" t="s">
        <v>137</v>
      </c>
      <c r="E140" s="277"/>
      <c r="F140" s="275"/>
      <c r="G140" s="275"/>
      <c r="H140" s="276"/>
      <c r="I140" s="276">
        <f>35.7*1.055</f>
        <v>37.663499999999999</v>
      </c>
      <c r="J140" s="273"/>
    </row>
    <row r="141" spans="1:10" ht="29.25" hidden="1" customHeight="1" x14ac:dyDescent="0.2">
      <c r="A141" s="270"/>
      <c r="B141" s="272"/>
      <c r="C141" s="288"/>
      <c r="D141" s="40" t="s">
        <v>81</v>
      </c>
      <c r="E141" s="277"/>
      <c r="F141" s="275"/>
      <c r="G141" s="275"/>
      <c r="H141" s="276"/>
      <c r="I141" s="276"/>
      <c r="J141" s="273"/>
    </row>
    <row r="142" spans="1:10" hidden="1" x14ac:dyDescent="0.2">
      <c r="A142" s="270"/>
      <c r="B142" s="272"/>
      <c r="C142" s="288"/>
      <c r="D142" s="39" t="s">
        <v>138</v>
      </c>
      <c r="E142" s="274"/>
      <c r="F142" s="275"/>
      <c r="G142" s="275"/>
      <c r="H142" s="276"/>
      <c r="I142" s="276"/>
      <c r="J142" s="273"/>
    </row>
    <row r="143" spans="1:10" ht="25.5" hidden="1" x14ac:dyDescent="0.2">
      <c r="A143" s="270"/>
      <c r="B143" s="272"/>
      <c r="C143" s="263"/>
      <c r="D143" s="40" t="s">
        <v>71</v>
      </c>
      <c r="E143" s="274"/>
      <c r="F143" s="275"/>
      <c r="G143" s="275"/>
      <c r="H143" s="276"/>
      <c r="I143" s="276"/>
      <c r="J143" s="273"/>
    </row>
    <row r="144" spans="1:10" ht="80.25" hidden="1" customHeight="1" x14ac:dyDescent="0.2">
      <c r="A144" s="18">
        <v>230102</v>
      </c>
      <c r="B144" s="30" t="s">
        <v>143</v>
      </c>
      <c r="C144" s="15" t="s">
        <v>53</v>
      </c>
      <c r="D144" s="15" t="s">
        <v>79</v>
      </c>
      <c r="E144" s="16"/>
      <c r="F144" s="17"/>
      <c r="G144" s="17"/>
      <c r="H144" s="17"/>
      <c r="I144" s="17"/>
      <c r="J144" s="22" t="s">
        <v>91</v>
      </c>
    </row>
    <row r="145" spans="1:10" ht="76.5" hidden="1" x14ac:dyDescent="0.2">
      <c r="A145" s="18">
        <v>230105</v>
      </c>
      <c r="B145" s="30" t="s">
        <v>144</v>
      </c>
      <c r="C145" s="15" t="s">
        <v>53</v>
      </c>
      <c r="D145" s="15" t="s">
        <v>79</v>
      </c>
      <c r="E145" s="16"/>
      <c r="F145" s="17"/>
      <c r="G145" s="17"/>
      <c r="H145" s="17"/>
      <c r="I145" s="17"/>
      <c r="J145" s="22" t="s">
        <v>91</v>
      </c>
    </row>
    <row r="146" spans="1:10" ht="21" hidden="1" customHeight="1" x14ac:dyDescent="0.2">
      <c r="A146" s="270" t="s">
        <v>160</v>
      </c>
      <c r="B146" s="272" t="s">
        <v>119</v>
      </c>
      <c r="C146" s="15" t="s">
        <v>53</v>
      </c>
      <c r="D146" s="15" t="s">
        <v>79</v>
      </c>
      <c r="E146" s="16"/>
      <c r="F146" s="17"/>
      <c r="G146" s="17"/>
      <c r="H146" s="17"/>
      <c r="I146" s="17"/>
      <c r="J146" s="22" t="s">
        <v>113</v>
      </c>
    </row>
    <row r="147" spans="1:10" ht="20.25" hidden="1" customHeight="1" x14ac:dyDescent="0.2">
      <c r="A147" s="270"/>
      <c r="B147" s="272"/>
      <c r="C147" s="262" t="s">
        <v>55</v>
      </c>
      <c r="D147" s="15" t="s">
        <v>131</v>
      </c>
      <c r="E147" s="16"/>
      <c r="F147" s="17"/>
      <c r="G147" s="17"/>
      <c r="H147" s="17"/>
      <c r="I147" s="17">
        <f>1.055*27.3</f>
        <v>28.801500000000001</v>
      </c>
      <c r="J147" s="273" t="s">
        <v>86</v>
      </c>
    </row>
    <row r="148" spans="1:10" hidden="1" x14ac:dyDescent="0.2">
      <c r="A148" s="270"/>
      <c r="B148" s="272"/>
      <c r="C148" s="288"/>
      <c r="D148" s="39" t="s">
        <v>145</v>
      </c>
      <c r="E148" s="274"/>
      <c r="F148" s="275"/>
      <c r="G148" s="275"/>
      <c r="H148" s="276"/>
      <c r="I148" s="276">
        <f>35.7*1.055</f>
        <v>37.663499999999999</v>
      </c>
      <c r="J148" s="273"/>
    </row>
    <row r="149" spans="1:10" ht="37.5" hidden="1" customHeight="1" x14ac:dyDescent="0.2">
      <c r="A149" s="270"/>
      <c r="B149" s="272"/>
      <c r="C149" s="263"/>
      <c r="D149" s="40" t="s">
        <v>81</v>
      </c>
      <c r="E149" s="274"/>
      <c r="F149" s="275"/>
      <c r="G149" s="275"/>
      <c r="H149" s="276"/>
      <c r="I149" s="276"/>
      <c r="J149" s="273"/>
    </row>
    <row r="150" spans="1:10" hidden="1" x14ac:dyDescent="0.2">
      <c r="A150" s="47" t="s">
        <v>165</v>
      </c>
      <c r="B150" s="265" t="s">
        <v>146</v>
      </c>
      <c r="C150" s="265"/>
      <c r="D150" s="265"/>
      <c r="E150" s="265"/>
      <c r="F150" s="265"/>
      <c r="G150" s="265"/>
      <c r="H150" s="265"/>
      <c r="I150" s="265"/>
      <c r="J150" s="265"/>
    </row>
    <row r="151" spans="1:10" ht="25.5" hidden="1" x14ac:dyDescent="0.2">
      <c r="A151" s="18" t="s">
        <v>147</v>
      </c>
      <c r="B151" s="30" t="s">
        <v>148</v>
      </c>
      <c r="C151" s="15" t="s">
        <v>53</v>
      </c>
      <c r="D151" s="15" t="s">
        <v>149</v>
      </c>
      <c r="E151" s="54">
        <f>1.055*56</f>
        <v>59.08</v>
      </c>
      <c r="F151" s="16">
        <f>57.75*1.055</f>
        <v>60.926249999999996</v>
      </c>
      <c r="G151" s="17"/>
      <c r="H151" s="17"/>
      <c r="I151" s="17"/>
      <c r="J151" s="55" t="s">
        <v>70</v>
      </c>
    </row>
    <row r="152" spans="1:10" ht="25.5" hidden="1" x14ac:dyDescent="0.2">
      <c r="A152" s="18" t="s">
        <v>192</v>
      </c>
      <c r="B152" s="30" t="s">
        <v>90</v>
      </c>
      <c r="C152" s="15" t="s">
        <v>53</v>
      </c>
      <c r="D152" s="15" t="s">
        <v>149</v>
      </c>
      <c r="E152" s="54">
        <f>60*1.055</f>
        <v>63.3</v>
      </c>
      <c r="F152" s="16">
        <f>57.75*1.055</f>
        <v>60.926249999999996</v>
      </c>
      <c r="G152" s="17"/>
      <c r="H152" s="17"/>
      <c r="I152" s="17"/>
      <c r="J152" s="55" t="s">
        <v>91</v>
      </c>
    </row>
    <row r="153" spans="1:10" ht="25.5" hidden="1" x14ac:dyDescent="0.2">
      <c r="A153" s="56" t="s">
        <v>193</v>
      </c>
      <c r="B153" s="30" t="s">
        <v>68</v>
      </c>
      <c r="C153" s="15" t="s">
        <v>53</v>
      </c>
      <c r="D153" s="15" t="s">
        <v>149</v>
      </c>
      <c r="E153" s="54">
        <f>1.055*50</f>
        <v>52.75</v>
      </c>
      <c r="F153" s="16">
        <f>1.055*47.75</f>
        <v>50.376249999999999</v>
      </c>
      <c r="G153" s="17"/>
      <c r="H153" s="17"/>
      <c r="I153" s="17"/>
      <c r="J153" s="55" t="s">
        <v>70</v>
      </c>
    </row>
    <row r="154" spans="1:10" ht="22.5" hidden="1" customHeight="1" x14ac:dyDescent="0.2">
      <c r="A154" s="329" t="s">
        <v>194</v>
      </c>
      <c r="B154" s="332" t="s">
        <v>105</v>
      </c>
      <c r="C154" s="262" t="s">
        <v>53</v>
      </c>
      <c r="D154" s="262" t="s">
        <v>149</v>
      </c>
      <c r="E154" s="54">
        <f>1.055*60</f>
        <v>63.3</v>
      </c>
      <c r="F154" s="16">
        <f>57.75*1.055</f>
        <v>60.926249999999996</v>
      </c>
      <c r="G154" s="17"/>
      <c r="H154" s="17"/>
      <c r="I154" s="17"/>
      <c r="J154" s="55" t="s">
        <v>98</v>
      </c>
    </row>
    <row r="155" spans="1:10" ht="22.5" hidden="1" customHeight="1" x14ac:dyDescent="0.2">
      <c r="A155" s="330"/>
      <c r="B155" s="333"/>
      <c r="C155" s="288"/>
      <c r="D155" s="288"/>
      <c r="E155" s="54">
        <f>1.055*55</f>
        <v>58.024999999999999</v>
      </c>
      <c r="F155" s="16"/>
      <c r="G155" s="17"/>
      <c r="H155" s="17"/>
      <c r="I155" s="17"/>
      <c r="J155" s="55" t="s">
        <v>101</v>
      </c>
    </row>
    <row r="156" spans="1:10" ht="24" hidden="1" customHeight="1" x14ac:dyDescent="0.2">
      <c r="A156" s="331"/>
      <c r="B156" s="334"/>
      <c r="C156" s="263" t="s">
        <v>53</v>
      </c>
      <c r="D156" s="263" t="s">
        <v>149</v>
      </c>
      <c r="E156" s="54">
        <f>1.055*60</f>
        <v>63.3</v>
      </c>
      <c r="F156" s="16"/>
      <c r="G156" s="17"/>
      <c r="H156" s="17"/>
      <c r="I156" s="17"/>
      <c r="J156" s="55" t="s">
        <v>91</v>
      </c>
    </row>
    <row r="157" spans="1:10" ht="38.25" hidden="1" x14ac:dyDescent="0.2">
      <c r="A157" s="56" t="s">
        <v>150</v>
      </c>
      <c r="B157" s="30" t="s">
        <v>110</v>
      </c>
      <c r="C157" s="15" t="s">
        <v>53</v>
      </c>
      <c r="D157" s="15" t="s">
        <v>149</v>
      </c>
      <c r="E157" s="54">
        <f>60*1.055</f>
        <v>63.3</v>
      </c>
      <c r="F157" s="16">
        <f>57.75*1.055</f>
        <v>60.926249999999996</v>
      </c>
      <c r="G157" s="17"/>
      <c r="H157" s="17"/>
      <c r="I157" s="17"/>
      <c r="J157" s="55" t="s">
        <v>98</v>
      </c>
    </row>
    <row r="158" spans="1:10" ht="51" hidden="1" x14ac:dyDescent="0.2">
      <c r="A158" s="56" t="s">
        <v>195</v>
      </c>
      <c r="B158" s="30" t="s">
        <v>151</v>
      </c>
      <c r="C158" s="15" t="s">
        <v>53</v>
      </c>
      <c r="D158" s="15" t="s">
        <v>149</v>
      </c>
      <c r="E158" s="54">
        <f>55*1.055</f>
        <v>58.024999999999999</v>
      </c>
      <c r="F158" s="16">
        <f>57.75*1.055</f>
        <v>60.926249999999996</v>
      </c>
      <c r="G158" s="17"/>
      <c r="H158" s="17"/>
      <c r="I158" s="17"/>
      <c r="J158" s="55" t="s">
        <v>113</v>
      </c>
    </row>
    <row r="159" spans="1:10" ht="25.5" hidden="1" x14ac:dyDescent="0.2">
      <c r="A159" s="56" t="s">
        <v>196</v>
      </c>
      <c r="B159" s="30" t="s">
        <v>119</v>
      </c>
      <c r="C159" s="15" t="s">
        <v>53</v>
      </c>
      <c r="D159" s="15" t="s">
        <v>149</v>
      </c>
      <c r="E159" s="54">
        <f>65*1.055</f>
        <v>68.575000000000003</v>
      </c>
      <c r="F159" s="16">
        <f>57.75*1.055</f>
        <v>60.926249999999996</v>
      </c>
      <c r="G159" s="17"/>
      <c r="H159" s="17"/>
      <c r="I159" s="17"/>
      <c r="J159" s="55"/>
    </row>
    <row r="160" spans="1:10" ht="25.5" hidden="1" x14ac:dyDescent="0.2">
      <c r="A160" s="56" t="s">
        <v>197</v>
      </c>
      <c r="B160" s="30" t="s">
        <v>115</v>
      </c>
      <c r="C160" s="15" t="s">
        <v>53</v>
      </c>
      <c r="D160" s="15" t="s">
        <v>149</v>
      </c>
      <c r="E160" s="54">
        <f>45*1.055</f>
        <v>47.474999999999994</v>
      </c>
      <c r="F160" s="16">
        <f>1.055*38.85</f>
        <v>40.986750000000001</v>
      </c>
      <c r="G160" s="17"/>
      <c r="H160" s="17"/>
      <c r="I160" s="17"/>
      <c r="J160" s="55" t="s">
        <v>98</v>
      </c>
    </row>
    <row r="161" spans="1:10" hidden="1" x14ac:dyDescent="0.2">
      <c r="A161" s="57" t="s">
        <v>198</v>
      </c>
      <c r="B161" s="58" t="s">
        <v>133</v>
      </c>
      <c r="C161" s="22" t="s">
        <v>53</v>
      </c>
      <c r="D161" s="22" t="s">
        <v>149</v>
      </c>
      <c r="E161" s="54">
        <f>60*1.055</f>
        <v>63.3</v>
      </c>
      <c r="F161" s="16">
        <f>57.75*1.055</f>
        <v>60.926249999999996</v>
      </c>
      <c r="G161" s="17"/>
      <c r="H161" s="17"/>
      <c r="I161" s="17"/>
      <c r="J161" s="55" t="s">
        <v>98</v>
      </c>
    </row>
    <row r="162" spans="1:10" hidden="1" x14ac:dyDescent="0.2">
      <c r="A162" s="57" t="s">
        <v>152</v>
      </c>
      <c r="B162" s="58" t="s">
        <v>88</v>
      </c>
      <c r="C162" s="22" t="s">
        <v>53</v>
      </c>
      <c r="D162" s="22" t="s">
        <v>149</v>
      </c>
      <c r="E162" s="54">
        <f>50*1.055</f>
        <v>52.75</v>
      </c>
      <c r="F162" s="23">
        <f>1.055*47.25</f>
        <v>49.848749999999995</v>
      </c>
      <c r="G162" s="59"/>
      <c r="H162" s="59"/>
      <c r="I162" s="59"/>
      <c r="J162" s="55" t="s">
        <v>77</v>
      </c>
    </row>
    <row r="163" spans="1:10" ht="14.25" hidden="1" customHeight="1" x14ac:dyDescent="0.2">
      <c r="A163" s="47" t="s">
        <v>166</v>
      </c>
      <c r="B163" s="265" t="s">
        <v>167</v>
      </c>
      <c r="C163" s="265"/>
      <c r="D163" s="265"/>
      <c r="E163" s="265"/>
      <c r="F163" s="265"/>
      <c r="G163" s="265"/>
      <c r="H163" s="265"/>
      <c r="I163" s="265"/>
      <c r="J163" s="265"/>
    </row>
    <row r="164" spans="1:10" hidden="1" x14ac:dyDescent="0.2">
      <c r="A164" s="325" t="s">
        <v>172</v>
      </c>
      <c r="B164" s="323" t="s">
        <v>171</v>
      </c>
      <c r="C164" s="15" t="s">
        <v>53</v>
      </c>
      <c r="D164" s="15" t="s">
        <v>169</v>
      </c>
      <c r="E164" s="16"/>
      <c r="F164" s="16">
        <f>1.055*58.8</f>
        <v>62.033999999999992</v>
      </c>
      <c r="G164" s="17"/>
      <c r="H164" s="17"/>
      <c r="I164" s="17"/>
      <c r="J164" s="335" t="s">
        <v>170</v>
      </c>
    </row>
    <row r="165" spans="1:10" hidden="1" x14ac:dyDescent="0.2">
      <c r="A165" s="325"/>
      <c r="B165" s="323"/>
      <c r="C165" s="15" t="s">
        <v>55</v>
      </c>
      <c r="D165" s="15" t="s">
        <v>168</v>
      </c>
      <c r="E165" s="16"/>
      <c r="F165" s="16">
        <f>1.055*42</f>
        <v>44.309999999999995</v>
      </c>
      <c r="G165" s="17"/>
      <c r="H165" s="17"/>
      <c r="I165" s="17"/>
      <c r="J165" s="335"/>
    </row>
    <row r="166" spans="1:10" hidden="1" x14ac:dyDescent="0.2">
      <c r="A166" s="325" t="s">
        <v>174</v>
      </c>
      <c r="B166" s="323" t="s">
        <v>173</v>
      </c>
      <c r="C166" s="15" t="s">
        <v>53</v>
      </c>
      <c r="D166" s="15" t="s">
        <v>169</v>
      </c>
      <c r="E166" s="16"/>
      <c r="F166" s="16">
        <f>1.055*63</f>
        <v>66.464999999999989</v>
      </c>
      <c r="G166" s="17"/>
      <c r="H166" s="17"/>
      <c r="I166" s="17"/>
      <c r="J166" s="335" t="s">
        <v>170</v>
      </c>
    </row>
    <row r="167" spans="1:10" hidden="1" x14ac:dyDescent="0.2">
      <c r="A167" s="325"/>
      <c r="B167" s="323"/>
      <c r="C167" s="15" t="s">
        <v>55</v>
      </c>
      <c r="D167" s="15" t="s">
        <v>168</v>
      </c>
      <c r="E167" s="16"/>
      <c r="F167" s="16">
        <f>1.055*44.1</f>
        <v>46.525500000000001</v>
      </c>
      <c r="G167" s="17"/>
      <c r="H167" s="17">
        <f>1.055*29.4</f>
        <v>31.016999999999996</v>
      </c>
      <c r="I167" s="17"/>
      <c r="J167" s="335"/>
    </row>
    <row r="168" spans="1:10" hidden="1" x14ac:dyDescent="0.2">
      <c r="A168" s="325" t="s">
        <v>176</v>
      </c>
      <c r="B168" s="323" t="s">
        <v>175</v>
      </c>
      <c r="C168" s="15" t="s">
        <v>53</v>
      </c>
      <c r="D168" s="15" t="s">
        <v>169</v>
      </c>
      <c r="E168" s="16"/>
      <c r="F168" s="16">
        <f>1.055*39.9</f>
        <v>42.094499999999996</v>
      </c>
      <c r="G168" s="17"/>
      <c r="H168" s="17"/>
      <c r="I168" s="17"/>
      <c r="J168" s="335" t="s">
        <v>170</v>
      </c>
    </row>
    <row r="169" spans="1:10" hidden="1" x14ac:dyDescent="0.2">
      <c r="A169" s="325"/>
      <c r="B169" s="323"/>
      <c r="C169" s="15" t="s">
        <v>55</v>
      </c>
      <c r="D169" s="15" t="s">
        <v>168</v>
      </c>
      <c r="E169" s="16"/>
      <c r="F169" s="16">
        <f>1.055*27.3</f>
        <v>28.801500000000001</v>
      </c>
      <c r="G169" s="17">
        <f>1.055*17.9</f>
        <v>18.884499999999996</v>
      </c>
      <c r="H169" s="17"/>
      <c r="I169" s="17"/>
      <c r="J169" s="335"/>
    </row>
    <row r="170" spans="1:10" hidden="1" x14ac:dyDescent="0.2">
      <c r="A170" s="325" t="s">
        <v>178</v>
      </c>
      <c r="B170" s="323" t="s">
        <v>177</v>
      </c>
      <c r="C170" s="15" t="s">
        <v>53</v>
      </c>
      <c r="D170" s="15" t="s">
        <v>169</v>
      </c>
      <c r="E170" s="16"/>
      <c r="F170" s="16">
        <f>1.055*39.9</f>
        <v>42.094499999999996</v>
      </c>
      <c r="G170" s="17"/>
      <c r="H170" s="17"/>
      <c r="I170" s="17"/>
      <c r="J170" s="335" t="s">
        <v>170</v>
      </c>
    </row>
    <row r="171" spans="1:10" hidden="1" x14ac:dyDescent="0.2">
      <c r="A171" s="325"/>
      <c r="B171" s="323"/>
      <c r="C171" s="15" t="s">
        <v>55</v>
      </c>
      <c r="D171" s="15" t="s">
        <v>168</v>
      </c>
      <c r="E171" s="16"/>
      <c r="F171" s="16">
        <f>1.055*27.3</f>
        <v>28.801500000000001</v>
      </c>
      <c r="G171" s="17">
        <f>1.055*17.9</f>
        <v>18.884499999999996</v>
      </c>
      <c r="H171" s="17"/>
      <c r="I171" s="17"/>
      <c r="J171" s="335"/>
    </row>
    <row r="172" spans="1:10" hidden="1" x14ac:dyDescent="0.2">
      <c r="A172" s="325" t="s">
        <v>180</v>
      </c>
      <c r="B172" s="323" t="s">
        <v>179</v>
      </c>
      <c r="C172" s="15" t="s">
        <v>53</v>
      </c>
      <c r="D172" s="15" t="s">
        <v>169</v>
      </c>
      <c r="E172" s="16"/>
      <c r="F172" s="16">
        <f>1.055*39.9</f>
        <v>42.094499999999996</v>
      </c>
      <c r="G172" s="17"/>
      <c r="H172" s="17"/>
      <c r="I172" s="17"/>
      <c r="J172" s="335" t="s">
        <v>170</v>
      </c>
    </row>
    <row r="173" spans="1:10" hidden="1" x14ac:dyDescent="0.2">
      <c r="A173" s="325"/>
      <c r="B173" s="323"/>
      <c r="C173" s="15" t="s">
        <v>55</v>
      </c>
      <c r="D173" s="15" t="s">
        <v>168</v>
      </c>
      <c r="E173" s="16"/>
      <c r="F173" s="16">
        <f>1.055*27.3</f>
        <v>28.801500000000001</v>
      </c>
      <c r="G173" s="17">
        <f>1.055*17.9</f>
        <v>18.884499999999996</v>
      </c>
      <c r="H173" s="17"/>
      <c r="I173" s="59"/>
      <c r="J173" s="335"/>
    </row>
    <row r="174" spans="1:10" ht="13.5" hidden="1" customHeight="1" x14ac:dyDescent="0.2">
      <c r="A174" s="325" t="s">
        <v>205</v>
      </c>
      <c r="B174" s="323" t="s">
        <v>206</v>
      </c>
      <c r="C174" s="22" t="s">
        <v>53</v>
      </c>
      <c r="D174" s="22" t="s">
        <v>65</v>
      </c>
      <c r="E174" s="23">
        <f>44*1.055</f>
        <v>46.419999999999995</v>
      </c>
      <c r="F174" s="59"/>
      <c r="G174" s="59"/>
      <c r="H174" s="59"/>
      <c r="I174" s="59"/>
      <c r="J174" s="335" t="s">
        <v>170</v>
      </c>
    </row>
    <row r="175" spans="1:10" ht="13.5" hidden="1" customHeight="1" x14ac:dyDescent="0.2">
      <c r="A175" s="325"/>
      <c r="B175" s="323"/>
      <c r="C175" s="22" t="s">
        <v>55</v>
      </c>
      <c r="D175" s="22" t="s">
        <v>79</v>
      </c>
      <c r="E175" s="23">
        <f>35*1.055</f>
        <v>36.924999999999997</v>
      </c>
      <c r="F175" s="59"/>
      <c r="G175" s="59"/>
      <c r="H175" s="59"/>
      <c r="I175" s="59"/>
      <c r="J175" s="335"/>
    </row>
    <row r="176" spans="1:10" ht="13.5" hidden="1" customHeight="1" x14ac:dyDescent="0.2">
      <c r="A176" s="325" t="s">
        <v>207</v>
      </c>
      <c r="B176" s="323" t="s">
        <v>208</v>
      </c>
      <c r="C176" s="22" t="s">
        <v>53</v>
      </c>
      <c r="D176" s="22" t="s">
        <v>65</v>
      </c>
      <c r="E176" s="23">
        <f t="shared" ref="E176:E183" si="5">44*1.055</f>
        <v>46.419999999999995</v>
      </c>
      <c r="F176" s="59"/>
      <c r="G176" s="59"/>
      <c r="H176" s="59"/>
      <c r="I176" s="59"/>
      <c r="J176" s="335" t="s">
        <v>170</v>
      </c>
    </row>
    <row r="177" spans="1:10" ht="13.5" hidden="1" customHeight="1" x14ac:dyDescent="0.2">
      <c r="A177" s="325"/>
      <c r="B177" s="323"/>
      <c r="C177" s="22" t="s">
        <v>55</v>
      </c>
      <c r="D177" s="22" t="s">
        <v>79</v>
      </c>
      <c r="E177" s="23">
        <f>35*1.055</f>
        <v>36.924999999999997</v>
      </c>
      <c r="F177" s="59"/>
      <c r="G177" s="59"/>
      <c r="H177" s="59"/>
      <c r="I177" s="59"/>
      <c r="J177" s="335"/>
    </row>
    <row r="178" spans="1:10" ht="20.25" hidden="1" customHeight="1" x14ac:dyDescent="0.2">
      <c r="A178" s="325" t="s">
        <v>209</v>
      </c>
      <c r="B178" s="323" t="s">
        <v>117</v>
      </c>
      <c r="C178" s="22" t="s">
        <v>53</v>
      </c>
      <c r="D178" s="22" t="s">
        <v>65</v>
      </c>
      <c r="E178" s="23">
        <f>55*1.055</f>
        <v>58.024999999999999</v>
      </c>
      <c r="F178" s="59"/>
      <c r="G178" s="59"/>
      <c r="H178" s="59"/>
      <c r="I178" s="59"/>
      <c r="J178" s="335" t="s">
        <v>170</v>
      </c>
    </row>
    <row r="179" spans="1:10" ht="24.75" hidden="1" customHeight="1" x14ac:dyDescent="0.2">
      <c r="A179" s="325"/>
      <c r="B179" s="323"/>
      <c r="C179" s="22" t="s">
        <v>55</v>
      </c>
      <c r="D179" s="22" t="s">
        <v>79</v>
      </c>
      <c r="E179" s="23">
        <f t="shared" si="5"/>
        <v>46.419999999999995</v>
      </c>
      <c r="F179" s="59"/>
      <c r="G179" s="59"/>
      <c r="H179" s="59"/>
      <c r="I179" s="59"/>
      <c r="J179" s="335"/>
    </row>
    <row r="180" spans="1:10" ht="13.5" hidden="1" customHeight="1" x14ac:dyDescent="0.2">
      <c r="A180" s="325" t="s">
        <v>210</v>
      </c>
      <c r="B180" s="323" t="s">
        <v>90</v>
      </c>
      <c r="C180" s="22" t="s">
        <v>53</v>
      </c>
      <c r="D180" s="22" t="s">
        <v>65</v>
      </c>
      <c r="E180" s="23">
        <f>55*1.055</f>
        <v>58.024999999999999</v>
      </c>
      <c r="F180" s="59"/>
      <c r="G180" s="59"/>
      <c r="H180" s="59"/>
      <c r="I180" s="59"/>
      <c r="J180" s="335" t="s">
        <v>170</v>
      </c>
    </row>
    <row r="181" spans="1:10" ht="13.5" hidden="1" customHeight="1" x14ac:dyDescent="0.2">
      <c r="A181" s="325"/>
      <c r="B181" s="323"/>
      <c r="C181" s="22" t="s">
        <v>55</v>
      </c>
      <c r="D181" s="22" t="s">
        <v>79</v>
      </c>
      <c r="E181" s="23">
        <f t="shared" si="5"/>
        <v>46.419999999999995</v>
      </c>
      <c r="F181" s="59"/>
      <c r="G181" s="59"/>
      <c r="H181" s="59"/>
      <c r="I181" s="59"/>
      <c r="J181" s="335"/>
    </row>
    <row r="182" spans="1:10" ht="21.75" hidden="1" customHeight="1" x14ac:dyDescent="0.2">
      <c r="A182" s="325" t="s">
        <v>211</v>
      </c>
      <c r="B182" s="323" t="s">
        <v>212</v>
      </c>
      <c r="C182" s="22" t="s">
        <v>53</v>
      </c>
      <c r="D182" s="22" t="s">
        <v>65</v>
      </c>
      <c r="E182" s="23">
        <f>55*1.055</f>
        <v>58.024999999999999</v>
      </c>
      <c r="F182" s="59"/>
      <c r="G182" s="59"/>
      <c r="H182" s="59"/>
      <c r="I182" s="59"/>
      <c r="J182" s="335" t="s">
        <v>170</v>
      </c>
    </row>
    <row r="183" spans="1:10" ht="21.75" hidden="1" customHeight="1" x14ac:dyDescent="0.2">
      <c r="A183" s="325"/>
      <c r="B183" s="323"/>
      <c r="C183" s="22" t="s">
        <v>55</v>
      </c>
      <c r="D183" s="22" t="s">
        <v>79</v>
      </c>
      <c r="E183" s="23">
        <f t="shared" si="5"/>
        <v>46.419999999999995</v>
      </c>
      <c r="F183" s="59"/>
      <c r="G183" s="59"/>
      <c r="H183" s="59"/>
      <c r="I183" s="59"/>
      <c r="J183" s="335"/>
    </row>
    <row r="184" spans="1:10" ht="13.5" hidden="1" customHeight="1" x14ac:dyDescent="0.2">
      <c r="A184" s="325" t="s">
        <v>203</v>
      </c>
      <c r="B184" s="323" t="s">
        <v>204</v>
      </c>
      <c r="C184" s="22" t="s">
        <v>53</v>
      </c>
      <c r="D184" s="22" t="s">
        <v>102</v>
      </c>
      <c r="E184" s="23">
        <f>41*1.055</f>
        <v>43.254999999999995</v>
      </c>
      <c r="F184" s="59"/>
      <c r="G184" s="59"/>
      <c r="H184" s="59"/>
      <c r="I184" s="59"/>
      <c r="J184" s="335" t="s">
        <v>170</v>
      </c>
    </row>
    <row r="185" spans="1:10" ht="13.5" hidden="1" customHeight="1" x14ac:dyDescent="0.2">
      <c r="A185" s="325"/>
      <c r="B185" s="323"/>
      <c r="C185" s="22" t="s">
        <v>55</v>
      </c>
      <c r="D185" s="22" t="s">
        <v>65</v>
      </c>
      <c r="E185" s="23">
        <f>33*1.055</f>
        <v>34.814999999999998</v>
      </c>
      <c r="F185" s="59"/>
      <c r="G185" s="59"/>
      <c r="H185" s="59"/>
      <c r="I185" s="59"/>
      <c r="J185" s="335"/>
    </row>
    <row r="186" spans="1:10" ht="22.5" hidden="1" customHeight="1" x14ac:dyDescent="0.2">
      <c r="A186" s="325" t="s">
        <v>200</v>
      </c>
      <c r="B186" s="323" t="s">
        <v>199</v>
      </c>
      <c r="C186" s="22" t="s">
        <v>53</v>
      </c>
      <c r="D186" s="22" t="s">
        <v>102</v>
      </c>
      <c r="E186" s="23">
        <f>41*1.055</f>
        <v>43.254999999999995</v>
      </c>
      <c r="F186" s="59"/>
      <c r="G186" s="59"/>
      <c r="H186" s="59"/>
      <c r="I186" s="59"/>
      <c r="J186" s="335" t="s">
        <v>170</v>
      </c>
    </row>
    <row r="187" spans="1:10" ht="23.25" hidden="1" customHeight="1" x14ac:dyDescent="0.2">
      <c r="A187" s="325"/>
      <c r="B187" s="323"/>
      <c r="C187" s="22" t="s">
        <v>55</v>
      </c>
      <c r="D187" s="22" t="s">
        <v>65</v>
      </c>
      <c r="E187" s="23">
        <f>33*1.055</f>
        <v>34.814999999999998</v>
      </c>
      <c r="F187" s="59"/>
      <c r="G187" s="59"/>
      <c r="H187" s="59"/>
      <c r="I187" s="59"/>
      <c r="J187" s="335"/>
    </row>
    <row r="188" spans="1:10" ht="25.5" hidden="1" customHeight="1" x14ac:dyDescent="0.2">
      <c r="A188" s="325" t="s">
        <v>202</v>
      </c>
      <c r="B188" s="323" t="s">
        <v>201</v>
      </c>
      <c r="C188" s="22" t="s">
        <v>53</v>
      </c>
      <c r="D188" s="22" t="s">
        <v>102</v>
      </c>
      <c r="E188" s="23">
        <f>41*1.055</f>
        <v>43.254999999999995</v>
      </c>
      <c r="F188" s="59"/>
      <c r="G188" s="59"/>
      <c r="H188" s="59"/>
      <c r="I188" s="59"/>
      <c r="J188" s="335" t="s">
        <v>170</v>
      </c>
    </row>
    <row r="189" spans="1:10" ht="25.5" hidden="1" customHeight="1" x14ac:dyDescent="0.2">
      <c r="A189" s="325"/>
      <c r="B189" s="323"/>
      <c r="C189" s="60" t="s">
        <v>55</v>
      </c>
      <c r="D189" s="60" t="s">
        <v>65</v>
      </c>
      <c r="E189" s="61">
        <f>33*1.055</f>
        <v>34.814999999999998</v>
      </c>
      <c r="F189" s="62"/>
      <c r="G189" s="62"/>
      <c r="H189" s="62"/>
      <c r="I189" s="62"/>
      <c r="J189" s="335"/>
    </row>
    <row r="190" spans="1:10" ht="13.5" hidden="1" thickBot="1" x14ac:dyDescent="0.25">
      <c r="A190" s="63"/>
      <c r="B190" s="64"/>
      <c r="C190" s="65"/>
      <c r="D190" s="65"/>
      <c r="E190" s="66"/>
      <c r="F190" s="67"/>
      <c r="G190" s="67"/>
      <c r="H190" s="67"/>
      <c r="I190" s="67"/>
    </row>
    <row r="191" spans="1:10" ht="64.5" hidden="1" customHeight="1" x14ac:dyDescent="0.2">
      <c r="A191" s="336" t="s">
        <v>1</v>
      </c>
      <c r="B191" s="337"/>
      <c r="C191" s="338" t="s">
        <v>2</v>
      </c>
      <c r="D191" s="338" t="s">
        <v>3</v>
      </c>
      <c r="E191" s="341" t="s">
        <v>4</v>
      </c>
      <c r="F191" s="342"/>
      <c r="G191" s="342"/>
      <c r="H191" s="342"/>
      <c r="I191" s="343"/>
      <c r="J191" s="347" t="s">
        <v>5</v>
      </c>
    </row>
    <row r="192" spans="1:10" ht="30" hidden="1" customHeight="1" x14ac:dyDescent="0.2">
      <c r="A192" s="350" t="s">
        <v>6</v>
      </c>
      <c r="B192" s="352" t="s">
        <v>7</v>
      </c>
      <c r="C192" s="339"/>
      <c r="D192" s="339"/>
      <c r="E192" s="344"/>
      <c r="F192" s="345"/>
      <c r="G192" s="345"/>
      <c r="H192" s="345"/>
      <c r="I192" s="346"/>
      <c r="J192" s="348"/>
    </row>
    <row r="193" spans="1:10" ht="33.75" hidden="1" customHeight="1" thickBot="1" x14ac:dyDescent="0.25">
      <c r="A193" s="351"/>
      <c r="B193" s="340"/>
      <c r="C193" s="340"/>
      <c r="D193" s="340"/>
      <c r="E193" s="68" t="s">
        <v>8</v>
      </c>
      <c r="F193" s="69" t="s">
        <v>9</v>
      </c>
      <c r="G193" s="69" t="s">
        <v>10</v>
      </c>
      <c r="H193" s="69" t="s">
        <v>11</v>
      </c>
      <c r="I193" s="70" t="s">
        <v>12</v>
      </c>
      <c r="J193" s="349"/>
    </row>
    <row r="194" spans="1:10" hidden="1" x14ac:dyDescent="0.2">
      <c r="A194" s="14" t="s">
        <v>13</v>
      </c>
      <c r="B194" s="300" t="s">
        <v>14</v>
      </c>
      <c r="C194" s="300"/>
      <c r="D194" s="300"/>
      <c r="E194" s="300"/>
      <c r="F194" s="300"/>
      <c r="G194" s="300"/>
      <c r="H194" s="300"/>
      <c r="I194" s="300"/>
      <c r="J194" s="300"/>
    </row>
    <row r="195" spans="1:10" ht="15.75" hidden="1" customHeight="1" x14ac:dyDescent="0.2">
      <c r="A195" s="270" t="s">
        <v>27</v>
      </c>
      <c r="B195" s="295" t="s">
        <v>52</v>
      </c>
      <c r="C195" s="15" t="s">
        <v>53</v>
      </c>
      <c r="D195" s="15" t="s">
        <v>138</v>
      </c>
      <c r="E195" s="16">
        <f>1.055*13.75</f>
        <v>14.50625</v>
      </c>
      <c r="F195" s="17">
        <f>1.055*13.13</f>
        <v>13.85215</v>
      </c>
      <c r="G195" s="17">
        <f>1.055*11.45</f>
        <v>12.079749999999999</v>
      </c>
      <c r="H195" s="17"/>
      <c r="I195" s="17"/>
      <c r="J195" s="15" t="s">
        <v>54</v>
      </c>
    </row>
    <row r="196" spans="1:10" hidden="1" x14ac:dyDescent="0.2">
      <c r="A196" s="302"/>
      <c r="B196" s="296"/>
      <c r="C196" s="15" t="s">
        <v>53</v>
      </c>
      <c r="D196" s="15" t="s">
        <v>213</v>
      </c>
      <c r="E196" s="16">
        <f>1.055*13.75</f>
        <v>14.50625</v>
      </c>
      <c r="F196" s="17"/>
      <c r="G196" s="17"/>
      <c r="H196" s="17"/>
      <c r="I196" s="17"/>
      <c r="J196" s="15" t="s">
        <v>54</v>
      </c>
    </row>
    <row r="197" spans="1:10" hidden="1" x14ac:dyDescent="0.2">
      <c r="A197" s="299"/>
      <c r="B197" s="297"/>
      <c r="C197" s="15" t="s">
        <v>55</v>
      </c>
      <c r="D197" s="15" t="s">
        <v>138</v>
      </c>
      <c r="E197" s="16">
        <f>1.055*11</f>
        <v>11.604999999999999</v>
      </c>
      <c r="F197" s="17">
        <f>1.055*10.5</f>
        <v>11.077499999999999</v>
      </c>
      <c r="G197" s="17"/>
      <c r="H197" s="17"/>
      <c r="I197" s="17"/>
      <c r="J197" s="15" t="s">
        <v>54</v>
      </c>
    </row>
    <row r="198" spans="1:10" hidden="1" x14ac:dyDescent="0.2">
      <c r="A198" s="270" t="s">
        <v>33</v>
      </c>
      <c r="B198" s="272" t="s">
        <v>34</v>
      </c>
      <c r="C198" s="15" t="s">
        <v>53</v>
      </c>
      <c r="D198" s="15" t="s">
        <v>138</v>
      </c>
      <c r="E198" s="16">
        <f>1.055*13.75</f>
        <v>14.50625</v>
      </c>
      <c r="F198" s="71"/>
      <c r="G198" s="17">
        <f>1.055*11.45</f>
        <v>12.079749999999999</v>
      </c>
      <c r="H198" s="17"/>
      <c r="I198" s="17"/>
      <c r="J198" s="15" t="s">
        <v>54</v>
      </c>
    </row>
    <row r="199" spans="1:10" hidden="1" x14ac:dyDescent="0.2">
      <c r="A199" s="270"/>
      <c r="B199" s="272"/>
      <c r="C199" s="15" t="s">
        <v>53</v>
      </c>
      <c r="D199" s="15" t="s">
        <v>213</v>
      </c>
      <c r="E199" s="16">
        <f>1.055*13.75</f>
        <v>14.50625</v>
      </c>
      <c r="F199" s="17">
        <f>1.055*13.13</f>
        <v>13.85215</v>
      </c>
      <c r="G199" s="17">
        <f>1.055*11.45</f>
        <v>12.079749999999999</v>
      </c>
      <c r="H199" s="17"/>
      <c r="I199" s="17"/>
      <c r="J199" s="15" t="s">
        <v>54</v>
      </c>
    </row>
    <row r="200" spans="1:10" hidden="1" x14ac:dyDescent="0.2">
      <c r="A200" s="270"/>
      <c r="B200" s="272"/>
      <c r="C200" s="15" t="s">
        <v>55</v>
      </c>
      <c r="D200" s="15" t="s">
        <v>138</v>
      </c>
      <c r="E200" s="16">
        <f>1.055*11</f>
        <v>11.604999999999999</v>
      </c>
      <c r="F200" s="17">
        <f>1.055*10.5</f>
        <v>11.077499999999999</v>
      </c>
      <c r="G200" s="17"/>
      <c r="H200" s="17"/>
      <c r="I200" s="17"/>
      <c r="J200" s="15" t="s">
        <v>54</v>
      </c>
    </row>
    <row r="201" spans="1:10" ht="33.75" hidden="1" customHeight="1" x14ac:dyDescent="0.2">
      <c r="A201" s="18" t="s">
        <v>39</v>
      </c>
      <c r="B201" s="30" t="s">
        <v>40</v>
      </c>
      <c r="C201" s="15" t="s">
        <v>53</v>
      </c>
      <c r="D201" s="15" t="s">
        <v>214</v>
      </c>
      <c r="E201" s="16">
        <f>1.055*13.75</f>
        <v>14.50625</v>
      </c>
      <c r="F201" s="17">
        <f>1.055*13.13</f>
        <v>13.85215</v>
      </c>
      <c r="G201" s="17">
        <f>1.055*11.45</f>
        <v>12.079749999999999</v>
      </c>
      <c r="H201" s="17"/>
      <c r="I201" s="17"/>
      <c r="J201" s="15" t="s">
        <v>54</v>
      </c>
    </row>
    <row r="202" spans="1:10" ht="60" hidden="1" customHeight="1" x14ac:dyDescent="0.2">
      <c r="A202" s="18" t="s">
        <v>42</v>
      </c>
      <c r="B202" s="30" t="s">
        <v>43</v>
      </c>
      <c r="C202" s="15" t="s">
        <v>53</v>
      </c>
      <c r="D202" s="15" t="s">
        <v>214</v>
      </c>
      <c r="E202" s="16">
        <f>1.055*13.75</f>
        <v>14.50625</v>
      </c>
      <c r="F202" s="17">
        <f>1.055*13.13</f>
        <v>13.85215</v>
      </c>
      <c r="G202" s="17">
        <f>1.055*11.45</f>
        <v>12.079749999999999</v>
      </c>
      <c r="H202" s="17"/>
      <c r="I202" s="17"/>
      <c r="J202" s="15" t="s">
        <v>54</v>
      </c>
    </row>
    <row r="203" spans="1:10" ht="23.25" hidden="1" customHeight="1" x14ac:dyDescent="0.2">
      <c r="A203" s="285" t="s">
        <v>24</v>
      </c>
      <c r="B203" s="285" t="s">
        <v>56</v>
      </c>
      <c r="C203" s="15" t="s">
        <v>55</v>
      </c>
      <c r="D203" s="15" t="s">
        <v>138</v>
      </c>
      <c r="E203" s="16">
        <f>1.055*11</f>
        <v>11.604999999999999</v>
      </c>
      <c r="F203" s="17">
        <f>1.055*10.5</f>
        <v>11.077499999999999</v>
      </c>
      <c r="G203" s="17"/>
      <c r="H203" s="17"/>
      <c r="I203" s="17"/>
      <c r="J203" s="15" t="s">
        <v>54</v>
      </c>
    </row>
    <row r="204" spans="1:10" ht="51" hidden="1" x14ac:dyDescent="0.2">
      <c r="A204" s="286"/>
      <c r="B204" s="286"/>
      <c r="C204" s="15" t="s">
        <v>215</v>
      </c>
      <c r="D204" s="15" t="s">
        <v>213</v>
      </c>
      <c r="E204" s="72">
        <f>1.055*13.75</f>
        <v>14.50625</v>
      </c>
      <c r="F204" s="73"/>
      <c r="G204" s="73"/>
      <c r="H204" s="73"/>
      <c r="I204" s="73"/>
      <c r="J204" s="15" t="s">
        <v>54</v>
      </c>
    </row>
    <row r="205" spans="1:10" ht="22.5" hidden="1" customHeight="1" x14ac:dyDescent="0.2">
      <c r="A205" s="287"/>
      <c r="B205" s="287"/>
      <c r="C205" s="15" t="s">
        <v>53</v>
      </c>
      <c r="D205" s="15" t="s">
        <v>138</v>
      </c>
      <c r="E205" s="72">
        <f>1.055*13.75</f>
        <v>14.50625</v>
      </c>
      <c r="F205" s="73">
        <f>1.055*13.13</f>
        <v>13.85215</v>
      </c>
      <c r="G205" s="73"/>
      <c r="H205" s="73"/>
      <c r="I205" s="73"/>
      <c r="J205" s="15"/>
    </row>
    <row r="206" spans="1:10" hidden="1" x14ac:dyDescent="0.2">
      <c r="A206" s="25" t="s">
        <v>16</v>
      </c>
      <c r="B206" s="301" t="s">
        <v>17</v>
      </c>
      <c r="C206" s="301"/>
      <c r="D206" s="301"/>
      <c r="E206" s="301"/>
      <c r="F206" s="301"/>
      <c r="G206" s="301"/>
      <c r="H206" s="301"/>
      <c r="I206" s="301"/>
      <c r="J206" s="301"/>
    </row>
    <row r="207" spans="1:10" ht="38.25" hidden="1" x14ac:dyDescent="0.2">
      <c r="A207" s="74" t="s">
        <v>24</v>
      </c>
      <c r="B207" s="75" t="s">
        <v>56</v>
      </c>
      <c r="C207" s="76" t="s">
        <v>55</v>
      </c>
      <c r="D207" s="76" t="s">
        <v>216</v>
      </c>
      <c r="E207" s="72">
        <f>1.055*11</f>
        <v>11.604999999999999</v>
      </c>
      <c r="F207" s="77"/>
      <c r="G207" s="73">
        <f>1.055*10.5</f>
        <v>11.077499999999999</v>
      </c>
      <c r="H207" s="73"/>
      <c r="I207" s="73"/>
      <c r="J207" s="15" t="s">
        <v>54</v>
      </c>
    </row>
    <row r="208" spans="1:10" hidden="1" x14ac:dyDescent="0.2">
      <c r="A208" s="285" t="s">
        <v>27</v>
      </c>
      <c r="B208" s="295" t="s">
        <v>52</v>
      </c>
      <c r="C208" s="76" t="s">
        <v>53</v>
      </c>
      <c r="D208" s="76" t="s">
        <v>216</v>
      </c>
      <c r="E208" s="72">
        <f>1.055*13.75</f>
        <v>14.50625</v>
      </c>
      <c r="F208" s="77"/>
      <c r="G208" s="73"/>
      <c r="H208" s="73"/>
      <c r="I208" s="73"/>
      <c r="J208" s="15"/>
    </row>
    <row r="209" spans="1:10" ht="51" hidden="1" x14ac:dyDescent="0.2">
      <c r="A209" s="286"/>
      <c r="B209" s="296"/>
      <c r="C209" s="15" t="s">
        <v>215</v>
      </c>
      <c r="D209" s="15" t="s">
        <v>218</v>
      </c>
      <c r="E209" s="72">
        <f>1.055*13.75</f>
        <v>14.50625</v>
      </c>
      <c r="F209" s="77"/>
      <c r="G209" s="73"/>
      <c r="H209" s="73"/>
      <c r="I209" s="73"/>
      <c r="J209" s="15"/>
    </row>
    <row r="210" spans="1:10" ht="15.75" hidden="1" customHeight="1" x14ac:dyDescent="0.2">
      <c r="A210" s="287"/>
      <c r="B210" s="297"/>
      <c r="C210" s="76" t="s">
        <v>55</v>
      </c>
      <c r="D210" s="15" t="s">
        <v>218</v>
      </c>
      <c r="E210" s="72">
        <f>1.055*11</f>
        <v>11.604999999999999</v>
      </c>
      <c r="F210" s="73"/>
      <c r="G210" s="73">
        <f>1.055*10.5</f>
        <v>11.077499999999999</v>
      </c>
      <c r="H210" s="73"/>
      <c r="I210" s="73"/>
      <c r="J210" s="15" t="s">
        <v>54</v>
      </c>
    </row>
    <row r="211" spans="1:10" ht="15.75" hidden="1" customHeight="1" x14ac:dyDescent="0.2">
      <c r="A211" s="298" t="s">
        <v>33</v>
      </c>
      <c r="B211" s="295" t="s">
        <v>34</v>
      </c>
      <c r="C211" s="76" t="s">
        <v>53</v>
      </c>
      <c r="D211" s="76" t="s">
        <v>216</v>
      </c>
      <c r="E211" s="72">
        <f>1.055*13.75</f>
        <v>14.50625</v>
      </c>
      <c r="F211" s="73"/>
      <c r="G211" s="73"/>
      <c r="H211" s="73"/>
      <c r="I211" s="73"/>
      <c r="J211" s="15" t="s">
        <v>54</v>
      </c>
    </row>
    <row r="212" spans="1:10" hidden="1" x14ac:dyDescent="0.2">
      <c r="A212" s="302"/>
      <c r="B212" s="296"/>
      <c r="C212" s="76" t="s">
        <v>55</v>
      </c>
      <c r="D212" s="15" t="s">
        <v>218</v>
      </c>
      <c r="E212" s="72">
        <f>1.055*11</f>
        <v>11.604999999999999</v>
      </c>
      <c r="F212" s="73"/>
      <c r="G212" s="73">
        <f>1.055*10.5</f>
        <v>11.077499999999999</v>
      </c>
      <c r="H212" s="73"/>
      <c r="I212" s="73"/>
      <c r="J212" s="15" t="s">
        <v>54</v>
      </c>
    </row>
    <row r="213" spans="1:10" ht="51" hidden="1" x14ac:dyDescent="0.2">
      <c r="A213" s="299"/>
      <c r="B213" s="297"/>
      <c r="C213" s="15" t="s">
        <v>215</v>
      </c>
      <c r="D213" s="15" t="s">
        <v>218</v>
      </c>
      <c r="E213" s="16">
        <f>1.055*13.75</f>
        <v>14.50625</v>
      </c>
      <c r="F213" s="73"/>
      <c r="G213" s="73"/>
      <c r="H213" s="73"/>
      <c r="I213" s="73"/>
      <c r="J213" s="15" t="s">
        <v>54</v>
      </c>
    </row>
    <row r="214" spans="1:10" hidden="1" x14ac:dyDescent="0.2">
      <c r="A214" s="298" t="s">
        <v>35</v>
      </c>
      <c r="B214" s="295" t="s">
        <v>36</v>
      </c>
      <c r="C214" s="76" t="s">
        <v>53</v>
      </c>
      <c r="D214" s="76" t="s">
        <v>20</v>
      </c>
      <c r="E214" s="72"/>
      <c r="F214" s="73"/>
      <c r="G214" s="73"/>
      <c r="H214" s="73"/>
      <c r="I214" s="73"/>
      <c r="J214" s="15" t="s">
        <v>54</v>
      </c>
    </row>
    <row r="215" spans="1:10" hidden="1" x14ac:dyDescent="0.2">
      <c r="A215" s="299"/>
      <c r="B215" s="297"/>
      <c r="C215" s="76" t="s">
        <v>55</v>
      </c>
      <c r="D215" s="76" t="s">
        <v>38</v>
      </c>
      <c r="E215" s="72"/>
      <c r="F215" s="73"/>
      <c r="G215" s="73"/>
      <c r="H215" s="73"/>
      <c r="I215" s="73"/>
      <c r="J215" s="15" t="s">
        <v>54</v>
      </c>
    </row>
    <row r="216" spans="1:10" hidden="1" x14ac:dyDescent="0.2">
      <c r="A216" s="270" t="s">
        <v>42</v>
      </c>
      <c r="B216" s="272" t="s">
        <v>43</v>
      </c>
      <c r="C216" s="76" t="s">
        <v>53</v>
      </c>
      <c r="D216" s="76" t="s">
        <v>217</v>
      </c>
      <c r="E216" s="72">
        <f>1.055*13.75</f>
        <v>14.50625</v>
      </c>
      <c r="F216" s="73"/>
      <c r="G216" s="73"/>
      <c r="H216" s="73"/>
      <c r="I216" s="73"/>
      <c r="J216" s="15" t="s">
        <v>54</v>
      </c>
    </row>
    <row r="217" spans="1:10" hidden="1" x14ac:dyDescent="0.2">
      <c r="A217" s="270"/>
      <c r="B217" s="272"/>
      <c r="C217" s="76" t="s">
        <v>55</v>
      </c>
      <c r="D217" s="76" t="s">
        <v>214</v>
      </c>
      <c r="E217" s="72">
        <f>1.055*11</f>
        <v>11.604999999999999</v>
      </c>
      <c r="F217" s="73"/>
      <c r="G217" s="73">
        <f>1.055*10.5</f>
        <v>11.077499999999999</v>
      </c>
      <c r="H217" s="73"/>
      <c r="I217" s="73"/>
      <c r="J217" s="15" t="s">
        <v>54</v>
      </c>
    </row>
    <row r="218" spans="1:10" ht="33.75" hidden="1" customHeight="1" x14ac:dyDescent="0.2">
      <c r="A218" s="18" t="s">
        <v>39</v>
      </c>
      <c r="B218" s="30" t="s">
        <v>40</v>
      </c>
      <c r="C218" s="76" t="s">
        <v>53</v>
      </c>
      <c r="D218" s="76" t="s">
        <v>217</v>
      </c>
      <c r="E218" s="72">
        <f>1.055*13.75</f>
        <v>14.50625</v>
      </c>
      <c r="F218" s="73"/>
      <c r="G218" s="73">
        <f>1.055*11.45</f>
        <v>12.079749999999999</v>
      </c>
      <c r="H218" s="73"/>
      <c r="I218" s="73"/>
      <c r="J218" s="15" t="s">
        <v>54</v>
      </c>
    </row>
    <row r="219" spans="1:10" hidden="1" x14ac:dyDescent="0.2"/>
    <row r="220" spans="1:10" hidden="1" x14ac:dyDescent="0.2">
      <c r="A220" s="1" t="s">
        <v>60</v>
      </c>
      <c r="B220" s="8"/>
      <c r="C220" s="9"/>
      <c r="D220" s="9"/>
      <c r="E220" s="10"/>
      <c r="F220" s="11"/>
      <c r="G220" s="11"/>
      <c r="H220" s="11"/>
      <c r="I220" s="11"/>
    </row>
    <row r="221" spans="1:10" ht="13.5" hidden="1" thickBot="1" x14ac:dyDescent="0.25">
      <c r="B221" s="8"/>
      <c r="C221" s="9"/>
      <c r="D221" s="9"/>
      <c r="E221" s="10"/>
      <c r="F221" s="11"/>
      <c r="G221" s="11"/>
      <c r="H221" s="11"/>
      <c r="I221" s="11"/>
    </row>
    <row r="222" spans="1:10" ht="46.5" hidden="1" customHeight="1" x14ac:dyDescent="0.2">
      <c r="A222" s="318" t="s">
        <v>1</v>
      </c>
      <c r="B222" s="319"/>
      <c r="C222" s="316" t="s">
        <v>2</v>
      </c>
      <c r="D222" s="316" t="s">
        <v>3</v>
      </c>
      <c r="E222" s="310" t="s">
        <v>4</v>
      </c>
      <c r="F222" s="311"/>
      <c r="G222" s="311"/>
      <c r="H222" s="311"/>
      <c r="I222" s="312"/>
      <c r="J222" s="307" t="s">
        <v>5</v>
      </c>
    </row>
    <row r="223" spans="1:10" ht="30" hidden="1" customHeight="1" x14ac:dyDescent="0.2">
      <c r="A223" s="305" t="s">
        <v>6</v>
      </c>
      <c r="B223" s="303" t="s">
        <v>7</v>
      </c>
      <c r="C223" s="317"/>
      <c r="D223" s="317"/>
      <c r="E223" s="313"/>
      <c r="F223" s="314"/>
      <c r="G223" s="314"/>
      <c r="H223" s="314"/>
      <c r="I223" s="315"/>
      <c r="J223" s="308"/>
    </row>
    <row r="224" spans="1:10" ht="32.25" hidden="1" customHeight="1" thickBot="1" x14ac:dyDescent="0.25">
      <c r="A224" s="306"/>
      <c r="B224" s="304"/>
      <c r="C224" s="304"/>
      <c r="D224" s="304"/>
      <c r="E224" s="78" t="s">
        <v>8</v>
      </c>
      <c r="F224" s="70" t="s">
        <v>9</v>
      </c>
      <c r="G224" s="70" t="s">
        <v>10</v>
      </c>
      <c r="H224" s="70" t="s">
        <v>11</v>
      </c>
      <c r="I224" s="70" t="s">
        <v>12</v>
      </c>
      <c r="J224" s="309"/>
    </row>
    <row r="225" spans="1:10" hidden="1" x14ac:dyDescent="0.2">
      <c r="A225" s="14" t="s">
        <v>13</v>
      </c>
      <c r="B225" s="300" t="s">
        <v>14</v>
      </c>
      <c r="C225" s="300"/>
      <c r="D225" s="300"/>
      <c r="E225" s="300"/>
      <c r="F225" s="300"/>
      <c r="G225" s="300"/>
      <c r="H225" s="300"/>
      <c r="I225" s="300"/>
      <c r="J225" s="300"/>
    </row>
    <row r="226" spans="1:10" ht="51" hidden="1" x14ac:dyDescent="0.2">
      <c r="A226" s="18" t="s">
        <v>61</v>
      </c>
      <c r="B226" s="30" t="s">
        <v>57</v>
      </c>
      <c r="C226" s="15" t="s">
        <v>53</v>
      </c>
      <c r="D226" s="15" t="s">
        <v>214</v>
      </c>
      <c r="E226" s="16">
        <f>1.055*21.2</f>
        <v>22.366</v>
      </c>
      <c r="F226" s="17">
        <f t="shared" ref="F226:F231" si="6">1.055*13.44</f>
        <v>14.179199999999998</v>
      </c>
      <c r="G226" s="17"/>
      <c r="H226" s="79"/>
      <c r="I226" s="79"/>
      <c r="J226" s="15" t="s">
        <v>59</v>
      </c>
    </row>
    <row r="227" spans="1:10" ht="38.25" hidden="1" x14ac:dyDescent="0.2">
      <c r="A227" s="18" t="s">
        <v>24</v>
      </c>
      <c r="B227" s="30" t="s">
        <v>56</v>
      </c>
      <c r="C227" s="15" t="s">
        <v>53</v>
      </c>
      <c r="D227" s="15" t="s">
        <v>213</v>
      </c>
      <c r="E227" s="16"/>
      <c r="F227" s="17">
        <f t="shared" si="6"/>
        <v>14.179199999999998</v>
      </c>
      <c r="G227" s="17"/>
      <c r="H227" s="79"/>
      <c r="I227" s="79"/>
      <c r="J227" s="15" t="s">
        <v>59</v>
      </c>
    </row>
    <row r="228" spans="1:10" ht="38.25" hidden="1" x14ac:dyDescent="0.2">
      <c r="A228" s="18" t="s">
        <v>27</v>
      </c>
      <c r="B228" s="30" t="s">
        <v>52</v>
      </c>
      <c r="C228" s="15" t="s">
        <v>53</v>
      </c>
      <c r="D228" s="15" t="s">
        <v>213</v>
      </c>
      <c r="E228" s="16"/>
      <c r="F228" s="17">
        <f t="shared" si="6"/>
        <v>14.179199999999998</v>
      </c>
      <c r="G228" s="17"/>
      <c r="H228" s="79"/>
      <c r="I228" s="79"/>
      <c r="J228" s="15" t="s">
        <v>59</v>
      </c>
    </row>
    <row r="229" spans="1:10" ht="38.25" hidden="1" x14ac:dyDescent="0.2">
      <c r="A229" s="18" t="s">
        <v>31</v>
      </c>
      <c r="B229" s="30" t="s">
        <v>32</v>
      </c>
      <c r="C229" s="15" t="s">
        <v>53</v>
      </c>
      <c r="D229" s="15" t="s">
        <v>213</v>
      </c>
      <c r="E229" s="16">
        <f>1.055*19.3</f>
        <v>20.361499999999999</v>
      </c>
      <c r="F229" s="17">
        <f t="shared" si="6"/>
        <v>14.179199999999998</v>
      </c>
      <c r="G229" s="17"/>
      <c r="H229" s="79"/>
      <c r="I229" s="79"/>
      <c r="J229" s="15" t="s">
        <v>59</v>
      </c>
    </row>
    <row r="230" spans="1:10" hidden="1" x14ac:dyDescent="0.2">
      <c r="A230" s="18" t="s">
        <v>39</v>
      </c>
      <c r="B230" s="30" t="s">
        <v>40</v>
      </c>
      <c r="C230" s="15" t="s">
        <v>53</v>
      </c>
      <c r="D230" s="15" t="s">
        <v>214</v>
      </c>
      <c r="E230" s="16"/>
      <c r="F230" s="17">
        <f t="shared" si="6"/>
        <v>14.179199999999998</v>
      </c>
      <c r="G230" s="17"/>
      <c r="H230" s="79"/>
      <c r="I230" s="79"/>
      <c r="J230" s="15" t="s">
        <v>59</v>
      </c>
    </row>
    <row r="231" spans="1:10" ht="63" hidden="1" customHeight="1" x14ac:dyDescent="0.2">
      <c r="A231" s="18" t="s">
        <v>42</v>
      </c>
      <c r="B231" s="30" t="s">
        <v>43</v>
      </c>
      <c r="C231" s="15" t="s">
        <v>53</v>
      </c>
      <c r="D231" s="15" t="s">
        <v>214</v>
      </c>
      <c r="E231" s="16">
        <f>1.055*18.9</f>
        <v>19.939499999999999</v>
      </c>
      <c r="F231" s="17">
        <f t="shared" si="6"/>
        <v>14.179199999999998</v>
      </c>
      <c r="G231" s="17"/>
      <c r="H231" s="79"/>
      <c r="I231" s="79"/>
      <c r="J231" s="15" t="s">
        <v>59</v>
      </c>
    </row>
    <row r="232" spans="1:10" ht="39" hidden="1" customHeight="1" x14ac:dyDescent="0.2">
      <c r="A232" s="18" t="s">
        <v>45</v>
      </c>
      <c r="B232" s="30" t="s">
        <v>58</v>
      </c>
      <c r="C232" s="15" t="s">
        <v>53</v>
      </c>
      <c r="D232" s="15" t="s">
        <v>214</v>
      </c>
      <c r="E232" s="16"/>
      <c r="F232" s="17"/>
      <c r="G232" s="17">
        <f>1.055*16.59</f>
        <v>17.50245</v>
      </c>
      <c r="H232" s="79"/>
      <c r="I232" s="79"/>
      <c r="J232" s="15" t="s">
        <v>59</v>
      </c>
    </row>
    <row r="233" spans="1:10" ht="25.5" hidden="1" x14ac:dyDescent="0.2">
      <c r="A233" s="18" t="s">
        <v>219</v>
      </c>
      <c r="B233" s="30" t="s">
        <v>220</v>
      </c>
      <c r="C233" s="15" t="s">
        <v>53</v>
      </c>
      <c r="D233" s="15" t="s">
        <v>214</v>
      </c>
      <c r="E233" s="16">
        <f>1.055*19.8</f>
        <v>20.888999999999999</v>
      </c>
      <c r="F233" s="17"/>
      <c r="G233" s="17"/>
      <c r="H233" s="79"/>
      <c r="I233" s="79"/>
      <c r="J233" s="15"/>
    </row>
    <row r="234" spans="1:10" hidden="1" x14ac:dyDescent="0.2">
      <c r="A234" s="25" t="s">
        <v>16</v>
      </c>
      <c r="B234" s="301" t="s">
        <v>17</v>
      </c>
      <c r="C234" s="301"/>
      <c r="D234" s="301"/>
      <c r="E234" s="301"/>
      <c r="F234" s="301"/>
      <c r="G234" s="301"/>
      <c r="H234" s="301"/>
      <c r="I234" s="301"/>
      <c r="J234" s="301"/>
    </row>
    <row r="235" spans="1:10" ht="25.5" hidden="1" customHeight="1" x14ac:dyDescent="0.2">
      <c r="A235" s="298" t="s">
        <v>27</v>
      </c>
      <c r="B235" s="272" t="s">
        <v>52</v>
      </c>
      <c r="C235" s="15" t="s">
        <v>53</v>
      </c>
      <c r="D235" s="15" t="s">
        <v>49</v>
      </c>
      <c r="E235" s="16"/>
      <c r="F235" s="17"/>
      <c r="G235" s="17"/>
      <c r="H235" s="79"/>
      <c r="I235" s="79"/>
      <c r="J235" s="15" t="s">
        <v>59</v>
      </c>
    </row>
    <row r="236" spans="1:10" ht="30.75" hidden="1" customHeight="1" x14ac:dyDescent="0.2">
      <c r="A236" s="299"/>
      <c r="B236" s="272"/>
      <c r="C236" s="15" t="s">
        <v>55</v>
      </c>
      <c r="D236" s="15" t="s">
        <v>213</v>
      </c>
      <c r="E236" s="16">
        <f>1.055*13.6</f>
        <v>14.347999999999999</v>
      </c>
      <c r="F236" s="17">
        <f>1.055*11.34</f>
        <v>11.963699999999999</v>
      </c>
      <c r="G236" s="17">
        <f>1.055*11.34</f>
        <v>11.963699999999999</v>
      </c>
      <c r="H236" s="79"/>
      <c r="I236" s="79"/>
      <c r="J236" s="15" t="s">
        <v>59</v>
      </c>
    </row>
    <row r="237" spans="1:10" ht="21.75" hidden="1" customHeight="1" x14ac:dyDescent="0.2">
      <c r="A237" s="270" t="s">
        <v>31</v>
      </c>
      <c r="B237" s="272" t="s">
        <v>32</v>
      </c>
      <c r="C237" s="15" t="s">
        <v>53</v>
      </c>
      <c r="D237" s="15" t="s">
        <v>221</v>
      </c>
      <c r="E237" s="16"/>
      <c r="F237" s="17">
        <f>1.055*15.75</f>
        <v>16.616249999999997</v>
      </c>
      <c r="G237" s="17"/>
      <c r="H237" s="79"/>
      <c r="I237" s="79"/>
      <c r="J237" s="15" t="s">
        <v>59</v>
      </c>
    </row>
    <row r="238" spans="1:10" ht="25.5" hidden="1" customHeight="1" x14ac:dyDescent="0.2">
      <c r="A238" s="270"/>
      <c r="B238" s="272"/>
      <c r="C238" s="15" t="s">
        <v>55</v>
      </c>
      <c r="D238" s="15" t="s">
        <v>213</v>
      </c>
      <c r="E238" s="16">
        <f>1.055*13.6</f>
        <v>14.347999999999999</v>
      </c>
      <c r="F238" s="17">
        <f>1.055*11.34</f>
        <v>11.963699999999999</v>
      </c>
      <c r="G238" s="17">
        <f>1.055*11.34</f>
        <v>11.963699999999999</v>
      </c>
      <c r="H238" s="79"/>
      <c r="I238" s="79"/>
      <c r="J238" s="15" t="s">
        <v>59</v>
      </c>
    </row>
    <row r="239" spans="1:10" hidden="1" x14ac:dyDescent="0.2">
      <c r="A239" s="270" t="s">
        <v>33</v>
      </c>
      <c r="B239" s="272" t="s">
        <v>34</v>
      </c>
      <c r="C239" s="15" t="s">
        <v>53</v>
      </c>
      <c r="D239" s="15" t="s">
        <v>49</v>
      </c>
      <c r="E239" s="16"/>
      <c r="F239" s="17"/>
      <c r="G239" s="17"/>
      <c r="H239" s="79"/>
      <c r="I239" s="79"/>
      <c r="J239" s="15" t="s">
        <v>59</v>
      </c>
    </row>
    <row r="240" spans="1:10" ht="45.75" hidden="1" customHeight="1" x14ac:dyDescent="0.2">
      <c r="A240" s="270"/>
      <c r="B240" s="272"/>
      <c r="C240" s="15" t="s">
        <v>55</v>
      </c>
      <c r="D240" s="15" t="s">
        <v>213</v>
      </c>
      <c r="E240" s="16">
        <f>1.055*13.6</f>
        <v>14.347999999999999</v>
      </c>
      <c r="F240" s="17">
        <f>1.055*11.34</f>
        <v>11.963699999999999</v>
      </c>
      <c r="G240" s="17"/>
      <c r="H240" s="79"/>
      <c r="I240" s="79"/>
      <c r="J240" s="15" t="s">
        <v>59</v>
      </c>
    </row>
    <row r="241" spans="1:10" hidden="1" x14ac:dyDescent="0.2">
      <c r="A241" s="270" t="s">
        <v>35</v>
      </c>
      <c r="B241" s="272" t="s">
        <v>36</v>
      </c>
      <c r="C241" s="15" t="s">
        <v>53</v>
      </c>
      <c r="D241" s="15"/>
      <c r="E241" s="16"/>
      <c r="F241" s="17"/>
      <c r="G241" s="17"/>
      <c r="H241" s="79"/>
      <c r="I241" s="79"/>
      <c r="J241" s="269" t="s">
        <v>59</v>
      </c>
    </row>
    <row r="242" spans="1:10" hidden="1" x14ac:dyDescent="0.2">
      <c r="A242" s="270"/>
      <c r="B242" s="272"/>
      <c r="C242" s="15" t="s">
        <v>55</v>
      </c>
      <c r="D242" s="15" t="s">
        <v>217</v>
      </c>
      <c r="E242" s="16">
        <f>1.055*12.9</f>
        <v>13.609499999999999</v>
      </c>
      <c r="F242" s="17">
        <f>1.055*10.29</f>
        <v>10.855949999999998</v>
      </c>
      <c r="G242" s="17"/>
      <c r="H242" s="79"/>
      <c r="I242" s="79"/>
      <c r="J242" s="269"/>
    </row>
    <row r="243" spans="1:10" ht="30" hidden="1" customHeight="1" x14ac:dyDescent="0.2">
      <c r="A243" s="270" t="s">
        <v>39</v>
      </c>
      <c r="B243" s="272" t="s">
        <v>40</v>
      </c>
      <c r="C243" s="15" t="s">
        <v>53</v>
      </c>
      <c r="D243" s="15" t="s">
        <v>217</v>
      </c>
      <c r="E243" s="16"/>
      <c r="F243" s="17">
        <f>1.055*16.59</f>
        <v>17.50245</v>
      </c>
      <c r="G243" s="17"/>
      <c r="H243" s="79"/>
      <c r="I243" s="79"/>
      <c r="J243" s="269" t="s">
        <v>59</v>
      </c>
    </row>
    <row r="244" spans="1:10" ht="7.5" hidden="1" customHeight="1" x14ac:dyDescent="0.2">
      <c r="A244" s="270"/>
      <c r="B244" s="272"/>
      <c r="C244" s="15" t="s">
        <v>55</v>
      </c>
      <c r="D244" s="15"/>
      <c r="E244" s="16"/>
      <c r="F244" s="17"/>
      <c r="G244" s="17"/>
      <c r="H244" s="79"/>
      <c r="I244" s="79"/>
      <c r="J244" s="269"/>
    </row>
    <row r="245" spans="1:10" ht="33" hidden="1" customHeight="1" x14ac:dyDescent="0.2">
      <c r="A245" s="270" t="s">
        <v>42</v>
      </c>
      <c r="B245" s="272" t="s">
        <v>43</v>
      </c>
      <c r="C245" s="15" t="s">
        <v>53</v>
      </c>
      <c r="D245" s="15" t="s">
        <v>217</v>
      </c>
      <c r="E245" s="16">
        <f>1.055*20.9</f>
        <v>22.049499999999998</v>
      </c>
      <c r="F245" s="17"/>
      <c r="G245" s="80"/>
      <c r="H245" s="80"/>
      <c r="I245" s="80"/>
      <c r="J245" s="15" t="s">
        <v>59</v>
      </c>
    </row>
    <row r="246" spans="1:10" ht="29.25" hidden="1" customHeight="1" x14ac:dyDescent="0.2">
      <c r="A246" s="270"/>
      <c r="B246" s="272"/>
      <c r="C246" s="15" t="s">
        <v>55</v>
      </c>
      <c r="D246" s="15" t="s">
        <v>214</v>
      </c>
      <c r="E246" s="16">
        <f>14.3*1.055</f>
        <v>15.086499999999999</v>
      </c>
      <c r="F246" s="17">
        <f>11.76*1.055</f>
        <v>12.406799999999999</v>
      </c>
      <c r="G246" s="17">
        <f>11.76*1.055</f>
        <v>12.406799999999999</v>
      </c>
      <c r="H246" s="79"/>
      <c r="I246" s="79"/>
      <c r="J246" s="15" t="s">
        <v>59</v>
      </c>
    </row>
    <row r="247" spans="1:10" ht="51" hidden="1" x14ac:dyDescent="0.2">
      <c r="A247" s="81" t="s">
        <v>61</v>
      </c>
      <c r="B247" s="30" t="s">
        <v>57</v>
      </c>
      <c r="C247" s="55" t="s">
        <v>53</v>
      </c>
      <c r="D247" s="55" t="s">
        <v>222</v>
      </c>
      <c r="E247" s="54">
        <f>24.6*1.055</f>
        <v>25.952999999999999</v>
      </c>
      <c r="F247" s="82"/>
      <c r="G247" s="82"/>
      <c r="H247" s="82"/>
      <c r="I247" s="82"/>
      <c r="J247" s="15" t="s">
        <v>59</v>
      </c>
    </row>
    <row r="248" spans="1:10" hidden="1" x14ac:dyDescent="0.2"/>
    <row r="249" spans="1:10" hidden="1" x14ac:dyDescent="0.2"/>
  </sheetData>
  <mergeCells count="306"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B206:J206"/>
    <mergeCell ref="B194:J194"/>
    <mergeCell ref="A195:A197"/>
    <mergeCell ref="B195:B197"/>
    <mergeCell ref="A198:A200"/>
    <mergeCell ref="B198:B200"/>
    <mergeCell ref="A191:B191"/>
    <mergeCell ref="C191:C193"/>
    <mergeCell ref="D191:D193"/>
    <mergeCell ref="E191:I192"/>
    <mergeCell ref="J191:J193"/>
    <mergeCell ref="A192:A193"/>
    <mergeCell ref="B192:B193"/>
    <mergeCell ref="A203:A205"/>
    <mergeCell ref="B203:B205"/>
    <mergeCell ref="J174:J175"/>
    <mergeCell ref="J176:J177"/>
    <mergeCell ref="J178:J179"/>
    <mergeCell ref="J180:J181"/>
    <mergeCell ref="J182:J183"/>
    <mergeCell ref="J184:J185"/>
    <mergeCell ref="J186:J187"/>
    <mergeCell ref="J188:J189"/>
    <mergeCell ref="D154:D156"/>
    <mergeCell ref="J164:J165"/>
    <mergeCell ref="J166:J167"/>
    <mergeCell ref="J168:J169"/>
    <mergeCell ref="J170:J171"/>
    <mergeCell ref="J172:J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C63:C65"/>
    <mergeCell ref="C83:C85"/>
    <mergeCell ref="C87:C91"/>
    <mergeCell ref="C139:C143"/>
    <mergeCell ref="C132:C134"/>
    <mergeCell ref="C123:C125"/>
    <mergeCell ref="C147:C149"/>
    <mergeCell ref="A154:A156"/>
    <mergeCell ref="B154:B156"/>
    <mergeCell ref="C154:C156"/>
    <mergeCell ref="A164:A165"/>
    <mergeCell ref="A166:A167"/>
    <mergeCell ref="A168:A169"/>
    <mergeCell ref="A170:A171"/>
    <mergeCell ref="A172:A173"/>
    <mergeCell ref="B163:J163"/>
    <mergeCell ref="A55:A58"/>
    <mergeCell ref="B55:B58"/>
    <mergeCell ref="A79:A81"/>
    <mergeCell ref="B79:B81"/>
    <mergeCell ref="B170:B171"/>
    <mergeCell ref="B172:B173"/>
    <mergeCell ref="A48:A50"/>
    <mergeCell ref="B48:B50"/>
    <mergeCell ref="J35:J36"/>
    <mergeCell ref="A35:A36"/>
    <mergeCell ref="B35:B36"/>
    <mergeCell ref="A41:A42"/>
    <mergeCell ref="B41:B42"/>
    <mergeCell ref="A46:A47"/>
    <mergeCell ref="B46:B47"/>
    <mergeCell ref="A38:A40"/>
    <mergeCell ref="B38:B40"/>
    <mergeCell ref="A43:A44"/>
    <mergeCell ref="B43:B44"/>
    <mergeCell ref="J41:J42"/>
    <mergeCell ref="J56:J57"/>
    <mergeCell ref="A59:A61"/>
    <mergeCell ref="B60:B61"/>
    <mergeCell ref="C60:C61"/>
    <mergeCell ref="B164:B165"/>
    <mergeCell ref="B166:B167"/>
    <mergeCell ref="B168:B169"/>
    <mergeCell ref="F60:F61"/>
    <mergeCell ref="G60:G61"/>
    <mergeCell ref="H60:H61"/>
    <mergeCell ref="I60:I61"/>
    <mergeCell ref="J60:J61"/>
    <mergeCell ref="E56:E57"/>
    <mergeCell ref="F56:F57"/>
    <mergeCell ref="G56:G57"/>
    <mergeCell ref="H56:H57"/>
    <mergeCell ref="I56:I57"/>
    <mergeCell ref="C55:C57"/>
    <mergeCell ref="E60:E61"/>
    <mergeCell ref="J79:J81"/>
    <mergeCell ref="C80:C81"/>
    <mergeCell ref="E80:E81"/>
    <mergeCell ref="G80:G81"/>
    <mergeCell ref="H80:H81"/>
    <mergeCell ref="I80:I81"/>
    <mergeCell ref="J62:J71"/>
    <mergeCell ref="C66:C69"/>
    <mergeCell ref="E66:E67"/>
    <mergeCell ref="J222:J224"/>
    <mergeCell ref="E222:I223"/>
    <mergeCell ref="D222:D224"/>
    <mergeCell ref="C222:C224"/>
    <mergeCell ref="A222:B222"/>
    <mergeCell ref="B214:B215"/>
    <mergeCell ref="A214:A215"/>
    <mergeCell ref="J13:J15"/>
    <mergeCell ref="A14:A15"/>
    <mergeCell ref="B14:B15"/>
    <mergeCell ref="A13:B13"/>
    <mergeCell ref="C13:C15"/>
    <mergeCell ref="D13:D15"/>
    <mergeCell ref="E13:I14"/>
    <mergeCell ref="J18:J19"/>
    <mergeCell ref="A21:A23"/>
    <mergeCell ref="B21:B23"/>
    <mergeCell ref="J21:J23"/>
    <mergeCell ref="A18:A19"/>
    <mergeCell ref="B18:B19"/>
    <mergeCell ref="A30:A32"/>
    <mergeCell ref="B30:B32"/>
    <mergeCell ref="J38:J40"/>
    <mergeCell ref="A24:A25"/>
    <mergeCell ref="A208:A210"/>
    <mergeCell ref="B208:B210"/>
    <mergeCell ref="J241:J242"/>
    <mergeCell ref="J243:J244"/>
    <mergeCell ref="A241:A242"/>
    <mergeCell ref="B241:B242"/>
    <mergeCell ref="A243:A244"/>
    <mergeCell ref="B243:B244"/>
    <mergeCell ref="A245:A246"/>
    <mergeCell ref="B245:B246"/>
    <mergeCell ref="A235:A236"/>
    <mergeCell ref="B235:B236"/>
    <mergeCell ref="A237:A238"/>
    <mergeCell ref="B237:B238"/>
    <mergeCell ref="A239:A240"/>
    <mergeCell ref="B239:B240"/>
    <mergeCell ref="B225:J225"/>
    <mergeCell ref="B234:J234"/>
    <mergeCell ref="A216:A217"/>
    <mergeCell ref="B216:B217"/>
    <mergeCell ref="A211:A213"/>
    <mergeCell ref="B211:B213"/>
    <mergeCell ref="B223:B224"/>
    <mergeCell ref="A223:A224"/>
    <mergeCell ref="G66:G67"/>
    <mergeCell ref="H66:H67"/>
    <mergeCell ref="H68:H69"/>
    <mergeCell ref="I68:I69"/>
    <mergeCell ref="C70:C71"/>
    <mergeCell ref="I70:I71"/>
    <mergeCell ref="D70:D71"/>
    <mergeCell ref="E70:E71"/>
    <mergeCell ref="F70:F71"/>
    <mergeCell ref="G70:G71"/>
    <mergeCell ref="H70:H71"/>
    <mergeCell ref="I66:I67"/>
    <mergeCell ref="E68:E69"/>
    <mergeCell ref="F68:F69"/>
    <mergeCell ref="G68:G69"/>
    <mergeCell ref="A62:A73"/>
    <mergeCell ref="B62:B73"/>
    <mergeCell ref="A83:A91"/>
    <mergeCell ref="B83:B91"/>
    <mergeCell ref="E84:E85"/>
    <mergeCell ref="F84:F85"/>
    <mergeCell ref="E88:E89"/>
    <mergeCell ref="F88:F89"/>
    <mergeCell ref="E90:E91"/>
    <mergeCell ref="F90:F91"/>
    <mergeCell ref="F80:F81"/>
    <mergeCell ref="F66:F67"/>
    <mergeCell ref="G84:G85"/>
    <mergeCell ref="H84:H85"/>
    <mergeCell ref="I84:I85"/>
    <mergeCell ref="J84:J85"/>
    <mergeCell ref="J87:J91"/>
    <mergeCell ref="G88:G89"/>
    <mergeCell ref="H88:H89"/>
    <mergeCell ref="I88:I89"/>
    <mergeCell ref="G90:G91"/>
    <mergeCell ref="H90:H91"/>
    <mergeCell ref="I90:I91"/>
    <mergeCell ref="A93:A98"/>
    <mergeCell ref="B93:B98"/>
    <mergeCell ref="J93:J95"/>
    <mergeCell ref="C94:C95"/>
    <mergeCell ref="E94:E95"/>
    <mergeCell ref="F94:F95"/>
    <mergeCell ref="G94:G95"/>
    <mergeCell ref="H94:H95"/>
    <mergeCell ref="I94:I95"/>
    <mergeCell ref="J96:J98"/>
    <mergeCell ref="C97:C98"/>
    <mergeCell ref="E97:E98"/>
    <mergeCell ref="F97:F98"/>
    <mergeCell ref="G97:G98"/>
    <mergeCell ref="H97:H98"/>
    <mergeCell ref="I97:I98"/>
    <mergeCell ref="A101:A106"/>
    <mergeCell ref="B101:B106"/>
    <mergeCell ref="J101:J103"/>
    <mergeCell ref="C102:C103"/>
    <mergeCell ref="E102:E103"/>
    <mergeCell ref="G102:G103"/>
    <mergeCell ref="H102:H103"/>
    <mergeCell ref="I102:I103"/>
    <mergeCell ref="J104:J106"/>
    <mergeCell ref="C105:C106"/>
    <mergeCell ref="E105:E106"/>
    <mergeCell ref="F105:F106"/>
    <mergeCell ref="G105:G106"/>
    <mergeCell ref="H105:H106"/>
    <mergeCell ref="I105:I106"/>
    <mergeCell ref="F102:F103"/>
    <mergeCell ref="A111:A114"/>
    <mergeCell ref="B111:B114"/>
    <mergeCell ref="J111:J113"/>
    <mergeCell ref="C112:C113"/>
    <mergeCell ref="E112:E113"/>
    <mergeCell ref="F112:F113"/>
    <mergeCell ref="G112:G113"/>
    <mergeCell ref="H112:H113"/>
    <mergeCell ref="I112:I113"/>
    <mergeCell ref="A121:A127"/>
    <mergeCell ref="B121:B127"/>
    <mergeCell ref="J122:J127"/>
    <mergeCell ref="E124:E125"/>
    <mergeCell ref="F124:F125"/>
    <mergeCell ref="G124:G125"/>
    <mergeCell ref="H124:H125"/>
    <mergeCell ref="I124:I125"/>
    <mergeCell ref="C126:C127"/>
    <mergeCell ref="E126:E127"/>
    <mergeCell ref="F126:F127"/>
    <mergeCell ref="G126:G127"/>
    <mergeCell ref="H126:H127"/>
    <mergeCell ref="I126:I127"/>
    <mergeCell ref="B128:B129"/>
    <mergeCell ref="A130:A136"/>
    <mergeCell ref="B130:B136"/>
    <mergeCell ref="J131:J136"/>
    <mergeCell ref="E133:E134"/>
    <mergeCell ref="F133:F134"/>
    <mergeCell ref="G133:G134"/>
    <mergeCell ref="H133:H134"/>
    <mergeCell ref="I133:I134"/>
    <mergeCell ref="C135:C136"/>
    <mergeCell ref="E135:E136"/>
    <mergeCell ref="F135:F136"/>
    <mergeCell ref="G135:G136"/>
    <mergeCell ref="H135:H136"/>
    <mergeCell ref="I135:I136"/>
    <mergeCell ref="B108:J108"/>
    <mergeCell ref="B150:J150"/>
    <mergeCell ref="A146:A149"/>
    <mergeCell ref="B146:B149"/>
    <mergeCell ref="J147:J149"/>
    <mergeCell ref="E148:E149"/>
    <mergeCell ref="F148:F149"/>
    <mergeCell ref="G148:G149"/>
    <mergeCell ref="H148:H149"/>
    <mergeCell ref="I148:I149"/>
    <mergeCell ref="A138:A143"/>
    <mergeCell ref="B138:B143"/>
    <mergeCell ref="J139:J143"/>
    <mergeCell ref="E140:E141"/>
    <mergeCell ref="F140:F141"/>
    <mergeCell ref="G140:G141"/>
    <mergeCell ref="H140:H141"/>
    <mergeCell ref="I140:I141"/>
    <mergeCell ref="E142:E143"/>
    <mergeCell ref="F142:F143"/>
    <mergeCell ref="G142:G143"/>
    <mergeCell ref="H142:H143"/>
    <mergeCell ref="I142:I143"/>
    <mergeCell ref="A128:A129"/>
    <mergeCell ref="I2:J2"/>
    <mergeCell ref="A7:J7"/>
    <mergeCell ref="A16:I16"/>
    <mergeCell ref="A11:J11"/>
    <mergeCell ref="B17:I17"/>
    <mergeCell ref="J16:J17"/>
    <mergeCell ref="A5:J5"/>
    <mergeCell ref="A6:J6"/>
    <mergeCell ref="B53:J53"/>
    <mergeCell ref="B52:J52"/>
    <mergeCell ref="A51:B51"/>
    <mergeCell ref="E51:I51"/>
    <mergeCell ref="B24:B25"/>
    <mergeCell ref="J24:J25"/>
    <mergeCell ref="A28:A29"/>
    <mergeCell ref="B28:B29"/>
    <mergeCell ref="B34:J34"/>
  </mergeCells>
  <printOptions horizontalCentered="1"/>
  <pageMargins left="0.39370078740157483" right="0.39370078740157483" top="0.74803149606299213" bottom="0.39370078740157483" header="0.31496062992125984" footer="0.31496062992125984"/>
  <pageSetup paperSize="9" firstPageNumber="2" fitToWidth="0" orientation="landscape" useFirstPageNumber="1" r:id="rId1"/>
  <headerFooter>
    <oddHeader>&amp;C&amp;"Times New Roman,обычный"&amp;14&amp;P</oddHeader>
  </headerFooter>
  <rowBreaks count="4" manualBreakCount="4">
    <brk id="189" max="9" man="1"/>
    <brk id="210" max="16383" man="1"/>
    <brk id="218" max="9" man="1"/>
    <brk id="2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view="pageBreakPreview" topLeftCell="A46" zoomScale="80" zoomScaleNormal="100" zoomScaleSheetLayoutView="80" workbookViewId="0">
      <selection activeCell="J48" sqref="J48"/>
    </sheetView>
  </sheetViews>
  <sheetFormatPr defaultRowHeight="12.75" x14ac:dyDescent="0.2"/>
  <cols>
    <col min="1" max="1" width="8.7109375" style="1" customWidth="1"/>
    <col min="2" max="2" width="19.140625" style="2" customWidth="1"/>
    <col min="3" max="3" width="14.5703125" style="3" customWidth="1"/>
    <col min="4" max="4" width="15.5703125" style="3" customWidth="1"/>
    <col min="5" max="5" width="10.140625" style="4" customWidth="1"/>
    <col min="6" max="6" width="10.28515625" style="5" customWidth="1"/>
    <col min="7" max="7" width="10.140625" style="5" customWidth="1"/>
    <col min="8" max="9" width="10.28515625" style="5" customWidth="1"/>
    <col min="10" max="10" width="20.85546875" style="3" customWidth="1"/>
    <col min="11" max="256" width="9.140625" style="3"/>
    <col min="257" max="257" width="10.85546875" style="3" customWidth="1"/>
    <col min="258" max="258" width="19.140625" style="3" customWidth="1"/>
    <col min="259" max="259" width="13" style="3" customWidth="1"/>
    <col min="260" max="260" width="15.5703125" style="3" customWidth="1"/>
    <col min="261" max="261" width="10.140625" style="3" customWidth="1"/>
    <col min="262" max="262" width="10.28515625" style="3" customWidth="1"/>
    <col min="263" max="263" width="10.140625" style="3" customWidth="1"/>
    <col min="264" max="265" width="10.28515625" style="3" customWidth="1"/>
    <col min="266" max="266" width="20.85546875" style="3" customWidth="1"/>
    <col min="267" max="512" width="9.140625" style="3"/>
    <col min="513" max="513" width="10.85546875" style="3" customWidth="1"/>
    <col min="514" max="514" width="19.140625" style="3" customWidth="1"/>
    <col min="515" max="515" width="13" style="3" customWidth="1"/>
    <col min="516" max="516" width="15.5703125" style="3" customWidth="1"/>
    <col min="517" max="517" width="10.140625" style="3" customWidth="1"/>
    <col min="518" max="518" width="10.28515625" style="3" customWidth="1"/>
    <col min="519" max="519" width="10.140625" style="3" customWidth="1"/>
    <col min="520" max="521" width="10.28515625" style="3" customWidth="1"/>
    <col min="522" max="522" width="20.85546875" style="3" customWidth="1"/>
    <col min="523" max="768" width="9.140625" style="3"/>
    <col min="769" max="769" width="10.85546875" style="3" customWidth="1"/>
    <col min="770" max="770" width="19.140625" style="3" customWidth="1"/>
    <col min="771" max="771" width="13" style="3" customWidth="1"/>
    <col min="772" max="772" width="15.5703125" style="3" customWidth="1"/>
    <col min="773" max="773" width="10.140625" style="3" customWidth="1"/>
    <col min="774" max="774" width="10.28515625" style="3" customWidth="1"/>
    <col min="775" max="775" width="10.140625" style="3" customWidth="1"/>
    <col min="776" max="777" width="10.28515625" style="3" customWidth="1"/>
    <col min="778" max="778" width="20.85546875" style="3" customWidth="1"/>
    <col min="779" max="1024" width="9.140625" style="3"/>
    <col min="1025" max="1025" width="10.85546875" style="3" customWidth="1"/>
    <col min="1026" max="1026" width="19.140625" style="3" customWidth="1"/>
    <col min="1027" max="1027" width="13" style="3" customWidth="1"/>
    <col min="1028" max="1028" width="15.5703125" style="3" customWidth="1"/>
    <col min="1029" max="1029" width="10.140625" style="3" customWidth="1"/>
    <col min="1030" max="1030" width="10.28515625" style="3" customWidth="1"/>
    <col min="1031" max="1031" width="10.140625" style="3" customWidth="1"/>
    <col min="1032" max="1033" width="10.28515625" style="3" customWidth="1"/>
    <col min="1034" max="1034" width="20.85546875" style="3" customWidth="1"/>
    <col min="1035" max="1280" width="9.140625" style="3"/>
    <col min="1281" max="1281" width="10.85546875" style="3" customWidth="1"/>
    <col min="1282" max="1282" width="19.140625" style="3" customWidth="1"/>
    <col min="1283" max="1283" width="13" style="3" customWidth="1"/>
    <col min="1284" max="1284" width="15.5703125" style="3" customWidth="1"/>
    <col min="1285" max="1285" width="10.140625" style="3" customWidth="1"/>
    <col min="1286" max="1286" width="10.28515625" style="3" customWidth="1"/>
    <col min="1287" max="1287" width="10.140625" style="3" customWidth="1"/>
    <col min="1288" max="1289" width="10.28515625" style="3" customWidth="1"/>
    <col min="1290" max="1290" width="20.85546875" style="3" customWidth="1"/>
    <col min="1291" max="1536" width="9.140625" style="3"/>
    <col min="1537" max="1537" width="10.85546875" style="3" customWidth="1"/>
    <col min="1538" max="1538" width="19.140625" style="3" customWidth="1"/>
    <col min="1539" max="1539" width="13" style="3" customWidth="1"/>
    <col min="1540" max="1540" width="15.5703125" style="3" customWidth="1"/>
    <col min="1541" max="1541" width="10.140625" style="3" customWidth="1"/>
    <col min="1542" max="1542" width="10.28515625" style="3" customWidth="1"/>
    <col min="1543" max="1543" width="10.140625" style="3" customWidth="1"/>
    <col min="1544" max="1545" width="10.28515625" style="3" customWidth="1"/>
    <col min="1546" max="1546" width="20.85546875" style="3" customWidth="1"/>
    <col min="1547" max="1792" width="9.140625" style="3"/>
    <col min="1793" max="1793" width="10.85546875" style="3" customWidth="1"/>
    <col min="1794" max="1794" width="19.140625" style="3" customWidth="1"/>
    <col min="1795" max="1795" width="13" style="3" customWidth="1"/>
    <col min="1796" max="1796" width="15.5703125" style="3" customWidth="1"/>
    <col min="1797" max="1797" width="10.140625" style="3" customWidth="1"/>
    <col min="1798" max="1798" width="10.28515625" style="3" customWidth="1"/>
    <col min="1799" max="1799" width="10.140625" style="3" customWidth="1"/>
    <col min="1800" max="1801" width="10.28515625" style="3" customWidth="1"/>
    <col min="1802" max="1802" width="20.85546875" style="3" customWidth="1"/>
    <col min="1803" max="2048" width="9.140625" style="3"/>
    <col min="2049" max="2049" width="10.85546875" style="3" customWidth="1"/>
    <col min="2050" max="2050" width="19.140625" style="3" customWidth="1"/>
    <col min="2051" max="2051" width="13" style="3" customWidth="1"/>
    <col min="2052" max="2052" width="15.5703125" style="3" customWidth="1"/>
    <col min="2053" max="2053" width="10.140625" style="3" customWidth="1"/>
    <col min="2054" max="2054" width="10.28515625" style="3" customWidth="1"/>
    <col min="2055" max="2055" width="10.140625" style="3" customWidth="1"/>
    <col min="2056" max="2057" width="10.28515625" style="3" customWidth="1"/>
    <col min="2058" max="2058" width="20.85546875" style="3" customWidth="1"/>
    <col min="2059" max="2304" width="9.140625" style="3"/>
    <col min="2305" max="2305" width="10.85546875" style="3" customWidth="1"/>
    <col min="2306" max="2306" width="19.140625" style="3" customWidth="1"/>
    <col min="2307" max="2307" width="13" style="3" customWidth="1"/>
    <col min="2308" max="2308" width="15.5703125" style="3" customWidth="1"/>
    <col min="2309" max="2309" width="10.140625" style="3" customWidth="1"/>
    <col min="2310" max="2310" width="10.28515625" style="3" customWidth="1"/>
    <col min="2311" max="2311" width="10.140625" style="3" customWidth="1"/>
    <col min="2312" max="2313" width="10.28515625" style="3" customWidth="1"/>
    <col min="2314" max="2314" width="20.85546875" style="3" customWidth="1"/>
    <col min="2315" max="2560" width="9.140625" style="3"/>
    <col min="2561" max="2561" width="10.85546875" style="3" customWidth="1"/>
    <col min="2562" max="2562" width="19.140625" style="3" customWidth="1"/>
    <col min="2563" max="2563" width="13" style="3" customWidth="1"/>
    <col min="2564" max="2564" width="15.5703125" style="3" customWidth="1"/>
    <col min="2565" max="2565" width="10.140625" style="3" customWidth="1"/>
    <col min="2566" max="2566" width="10.28515625" style="3" customWidth="1"/>
    <col min="2567" max="2567" width="10.140625" style="3" customWidth="1"/>
    <col min="2568" max="2569" width="10.28515625" style="3" customWidth="1"/>
    <col min="2570" max="2570" width="20.85546875" style="3" customWidth="1"/>
    <col min="2571" max="2816" width="9.140625" style="3"/>
    <col min="2817" max="2817" width="10.85546875" style="3" customWidth="1"/>
    <col min="2818" max="2818" width="19.140625" style="3" customWidth="1"/>
    <col min="2819" max="2819" width="13" style="3" customWidth="1"/>
    <col min="2820" max="2820" width="15.5703125" style="3" customWidth="1"/>
    <col min="2821" max="2821" width="10.140625" style="3" customWidth="1"/>
    <col min="2822" max="2822" width="10.28515625" style="3" customWidth="1"/>
    <col min="2823" max="2823" width="10.140625" style="3" customWidth="1"/>
    <col min="2824" max="2825" width="10.28515625" style="3" customWidth="1"/>
    <col min="2826" max="2826" width="20.85546875" style="3" customWidth="1"/>
    <col min="2827" max="3072" width="9.140625" style="3"/>
    <col min="3073" max="3073" width="10.85546875" style="3" customWidth="1"/>
    <col min="3074" max="3074" width="19.140625" style="3" customWidth="1"/>
    <col min="3075" max="3075" width="13" style="3" customWidth="1"/>
    <col min="3076" max="3076" width="15.5703125" style="3" customWidth="1"/>
    <col min="3077" max="3077" width="10.140625" style="3" customWidth="1"/>
    <col min="3078" max="3078" width="10.28515625" style="3" customWidth="1"/>
    <col min="3079" max="3079" width="10.140625" style="3" customWidth="1"/>
    <col min="3080" max="3081" width="10.28515625" style="3" customWidth="1"/>
    <col min="3082" max="3082" width="20.85546875" style="3" customWidth="1"/>
    <col min="3083" max="3328" width="9.140625" style="3"/>
    <col min="3329" max="3329" width="10.85546875" style="3" customWidth="1"/>
    <col min="3330" max="3330" width="19.140625" style="3" customWidth="1"/>
    <col min="3331" max="3331" width="13" style="3" customWidth="1"/>
    <col min="3332" max="3332" width="15.5703125" style="3" customWidth="1"/>
    <col min="3333" max="3333" width="10.140625" style="3" customWidth="1"/>
    <col min="3334" max="3334" width="10.28515625" style="3" customWidth="1"/>
    <col min="3335" max="3335" width="10.140625" style="3" customWidth="1"/>
    <col min="3336" max="3337" width="10.28515625" style="3" customWidth="1"/>
    <col min="3338" max="3338" width="20.85546875" style="3" customWidth="1"/>
    <col min="3339" max="3584" width="9.140625" style="3"/>
    <col min="3585" max="3585" width="10.85546875" style="3" customWidth="1"/>
    <col min="3586" max="3586" width="19.140625" style="3" customWidth="1"/>
    <col min="3587" max="3587" width="13" style="3" customWidth="1"/>
    <col min="3588" max="3588" width="15.5703125" style="3" customWidth="1"/>
    <col min="3589" max="3589" width="10.140625" style="3" customWidth="1"/>
    <col min="3590" max="3590" width="10.28515625" style="3" customWidth="1"/>
    <col min="3591" max="3591" width="10.140625" style="3" customWidth="1"/>
    <col min="3592" max="3593" width="10.28515625" style="3" customWidth="1"/>
    <col min="3594" max="3594" width="20.85546875" style="3" customWidth="1"/>
    <col min="3595" max="3840" width="9.140625" style="3"/>
    <col min="3841" max="3841" width="10.85546875" style="3" customWidth="1"/>
    <col min="3842" max="3842" width="19.140625" style="3" customWidth="1"/>
    <col min="3843" max="3843" width="13" style="3" customWidth="1"/>
    <col min="3844" max="3844" width="15.5703125" style="3" customWidth="1"/>
    <col min="3845" max="3845" width="10.140625" style="3" customWidth="1"/>
    <col min="3846" max="3846" width="10.28515625" style="3" customWidth="1"/>
    <col min="3847" max="3847" width="10.140625" style="3" customWidth="1"/>
    <col min="3848" max="3849" width="10.28515625" style="3" customWidth="1"/>
    <col min="3850" max="3850" width="20.85546875" style="3" customWidth="1"/>
    <col min="3851" max="4096" width="9.140625" style="3"/>
    <col min="4097" max="4097" width="10.85546875" style="3" customWidth="1"/>
    <col min="4098" max="4098" width="19.140625" style="3" customWidth="1"/>
    <col min="4099" max="4099" width="13" style="3" customWidth="1"/>
    <col min="4100" max="4100" width="15.5703125" style="3" customWidth="1"/>
    <col min="4101" max="4101" width="10.140625" style="3" customWidth="1"/>
    <col min="4102" max="4102" width="10.28515625" style="3" customWidth="1"/>
    <col min="4103" max="4103" width="10.140625" style="3" customWidth="1"/>
    <col min="4104" max="4105" width="10.28515625" style="3" customWidth="1"/>
    <col min="4106" max="4106" width="20.85546875" style="3" customWidth="1"/>
    <col min="4107" max="4352" width="9.140625" style="3"/>
    <col min="4353" max="4353" width="10.85546875" style="3" customWidth="1"/>
    <col min="4354" max="4354" width="19.140625" style="3" customWidth="1"/>
    <col min="4355" max="4355" width="13" style="3" customWidth="1"/>
    <col min="4356" max="4356" width="15.5703125" style="3" customWidth="1"/>
    <col min="4357" max="4357" width="10.140625" style="3" customWidth="1"/>
    <col min="4358" max="4358" width="10.28515625" style="3" customWidth="1"/>
    <col min="4359" max="4359" width="10.140625" style="3" customWidth="1"/>
    <col min="4360" max="4361" width="10.28515625" style="3" customWidth="1"/>
    <col min="4362" max="4362" width="20.85546875" style="3" customWidth="1"/>
    <col min="4363" max="4608" width="9.140625" style="3"/>
    <col min="4609" max="4609" width="10.85546875" style="3" customWidth="1"/>
    <col min="4610" max="4610" width="19.140625" style="3" customWidth="1"/>
    <col min="4611" max="4611" width="13" style="3" customWidth="1"/>
    <col min="4612" max="4612" width="15.5703125" style="3" customWidth="1"/>
    <col min="4613" max="4613" width="10.140625" style="3" customWidth="1"/>
    <col min="4614" max="4614" width="10.28515625" style="3" customWidth="1"/>
    <col min="4615" max="4615" width="10.140625" style="3" customWidth="1"/>
    <col min="4616" max="4617" width="10.28515625" style="3" customWidth="1"/>
    <col min="4618" max="4618" width="20.85546875" style="3" customWidth="1"/>
    <col min="4619" max="4864" width="9.140625" style="3"/>
    <col min="4865" max="4865" width="10.85546875" style="3" customWidth="1"/>
    <col min="4866" max="4866" width="19.140625" style="3" customWidth="1"/>
    <col min="4867" max="4867" width="13" style="3" customWidth="1"/>
    <col min="4868" max="4868" width="15.5703125" style="3" customWidth="1"/>
    <col min="4869" max="4869" width="10.140625" style="3" customWidth="1"/>
    <col min="4870" max="4870" width="10.28515625" style="3" customWidth="1"/>
    <col min="4871" max="4871" width="10.140625" style="3" customWidth="1"/>
    <col min="4872" max="4873" width="10.28515625" style="3" customWidth="1"/>
    <col min="4874" max="4874" width="20.85546875" style="3" customWidth="1"/>
    <col min="4875" max="5120" width="9.140625" style="3"/>
    <col min="5121" max="5121" width="10.85546875" style="3" customWidth="1"/>
    <col min="5122" max="5122" width="19.140625" style="3" customWidth="1"/>
    <col min="5123" max="5123" width="13" style="3" customWidth="1"/>
    <col min="5124" max="5124" width="15.5703125" style="3" customWidth="1"/>
    <col min="5125" max="5125" width="10.140625" style="3" customWidth="1"/>
    <col min="5126" max="5126" width="10.28515625" style="3" customWidth="1"/>
    <col min="5127" max="5127" width="10.140625" style="3" customWidth="1"/>
    <col min="5128" max="5129" width="10.28515625" style="3" customWidth="1"/>
    <col min="5130" max="5130" width="20.85546875" style="3" customWidth="1"/>
    <col min="5131" max="5376" width="9.140625" style="3"/>
    <col min="5377" max="5377" width="10.85546875" style="3" customWidth="1"/>
    <col min="5378" max="5378" width="19.140625" style="3" customWidth="1"/>
    <col min="5379" max="5379" width="13" style="3" customWidth="1"/>
    <col min="5380" max="5380" width="15.5703125" style="3" customWidth="1"/>
    <col min="5381" max="5381" width="10.140625" style="3" customWidth="1"/>
    <col min="5382" max="5382" width="10.28515625" style="3" customWidth="1"/>
    <col min="5383" max="5383" width="10.140625" style="3" customWidth="1"/>
    <col min="5384" max="5385" width="10.28515625" style="3" customWidth="1"/>
    <col min="5386" max="5386" width="20.85546875" style="3" customWidth="1"/>
    <col min="5387" max="5632" width="9.140625" style="3"/>
    <col min="5633" max="5633" width="10.85546875" style="3" customWidth="1"/>
    <col min="5634" max="5634" width="19.140625" style="3" customWidth="1"/>
    <col min="5635" max="5635" width="13" style="3" customWidth="1"/>
    <col min="5636" max="5636" width="15.5703125" style="3" customWidth="1"/>
    <col min="5637" max="5637" width="10.140625" style="3" customWidth="1"/>
    <col min="5638" max="5638" width="10.28515625" style="3" customWidth="1"/>
    <col min="5639" max="5639" width="10.140625" style="3" customWidth="1"/>
    <col min="5640" max="5641" width="10.28515625" style="3" customWidth="1"/>
    <col min="5642" max="5642" width="20.85546875" style="3" customWidth="1"/>
    <col min="5643" max="5888" width="9.140625" style="3"/>
    <col min="5889" max="5889" width="10.85546875" style="3" customWidth="1"/>
    <col min="5890" max="5890" width="19.140625" style="3" customWidth="1"/>
    <col min="5891" max="5891" width="13" style="3" customWidth="1"/>
    <col min="5892" max="5892" width="15.5703125" style="3" customWidth="1"/>
    <col min="5893" max="5893" width="10.140625" style="3" customWidth="1"/>
    <col min="5894" max="5894" width="10.28515625" style="3" customWidth="1"/>
    <col min="5895" max="5895" width="10.140625" style="3" customWidth="1"/>
    <col min="5896" max="5897" width="10.28515625" style="3" customWidth="1"/>
    <col min="5898" max="5898" width="20.85546875" style="3" customWidth="1"/>
    <col min="5899" max="6144" width="9.140625" style="3"/>
    <col min="6145" max="6145" width="10.85546875" style="3" customWidth="1"/>
    <col min="6146" max="6146" width="19.140625" style="3" customWidth="1"/>
    <col min="6147" max="6147" width="13" style="3" customWidth="1"/>
    <col min="6148" max="6148" width="15.5703125" style="3" customWidth="1"/>
    <col min="6149" max="6149" width="10.140625" style="3" customWidth="1"/>
    <col min="6150" max="6150" width="10.28515625" style="3" customWidth="1"/>
    <col min="6151" max="6151" width="10.140625" style="3" customWidth="1"/>
    <col min="6152" max="6153" width="10.28515625" style="3" customWidth="1"/>
    <col min="6154" max="6154" width="20.85546875" style="3" customWidth="1"/>
    <col min="6155" max="6400" width="9.140625" style="3"/>
    <col min="6401" max="6401" width="10.85546875" style="3" customWidth="1"/>
    <col min="6402" max="6402" width="19.140625" style="3" customWidth="1"/>
    <col min="6403" max="6403" width="13" style="3" customWidth="1"/>
    <col min="6404" max="6404" width="15.5703125" style="3" customWidth="1"/>
    <col min="6405" max="6405" width="10.140625" style="3" customWidth="1"/>
    <col min="6406" max="6406" width="10.28515625" style="3" customWidth="1"/>
    <col min="6407" max="6407" width="10.140625" style="3" customWidth="1"/>
    <col min="6408" max="6409" width="10.28515625" style="3" customWidth="1"/>
    <col min="6410" max="6410" width="20.85546875" style="3" customWidth="1"/>
    <col min="6411" max="6656" width="9.140625" style="3"/>
    <col min="6657" max="6657" width="10.85546875" style="3" customWidth="1"/>
    <col min="6658" max="6658" width="19.140625" style="3" customWidth="1"/>
    <col min="6659" max="6659" width="13" style="3" customWidth="1"/>
    <col min="6660" max="6660" width="15.5703125" style="3" customWidth="1"/>
    <col min="6661" max="6661" width="10.140625" style="3" customWidth="1"/>
    <col min="6662" max="6662" width="10.28515625" style="3" customWidth="1"/>
    <col min="6663" max="6663" width="10.140625" style="3" customWidth="1"/>
    <col min="6664" max="6665" width="10.28515625" style="3" customWidth="1"/>
    <col min="6666" max="6666" width="20.85546875" style="3" customWidth="1"/>
    <col min="6667" max="6912" width="9.140625" style="3"/>
    <col min="6913" max="6913" width="10.85546875" style="3" customWidth="1"/>
    <col min="6914" max="6914" width="19.140625" style="3" customWidth="1"/>
    <col min="6915" max="6915" width="13" style="3" customWidth="1"/>
    <col min="6916" max="6916" width="15.5703125" style="3" customWidth="1"/>
    <col min="6917" max="6917" width="10.140625" style="3" customWidth="1"/>
    <col min="6918" max="6918" width="10.28515625" style="3" customWidth="1"/>
    <col min="6919" max="6919" width="10.140625" style="3" customWidth="1"/>
    <col min="6920" max="6921" width="10.28515625" style="3" customWidth="1"/>
    <col min="6922" max="6922" width="20.85546875" style="3" customWidth="1"/>
    <col min="6923" max="7168" width="9.140625" style="3"/>
    <col min="7169" max="7169" width="10.85546875" style="3" customWidth="1"/>
    <col min="7170" max="7170" width="19.140625" style="3" customWidth="1"/>
    <col min="7171" max="7171" width="13" style="3" customWidth="1"/>
    <col min="7172" max="7172" width="15.5703125" style="3" customWidth="1"/>
    <col min="7173" max="7173" width="10.140625" style="3" customWidth="1"/>
    <col min="7174" max="7174" width="10.28515625" style="3" customWidth="1"/>
    <col min="7175" max="7175" width="10.140625" style="3" customWidth="1"/>
    <col min="7176" max="7177" width="10.28515625" style="3" customWidth="1"/>
    <col min="7178" max="7178" width="20.85546875" style="3" customWidth="1"/>
    <col min="7179" max="7424" width="9.140625" style="3"/>
    <col min="7425" max="7425" width="10.85546875" style="3" customWidth="1"/>
    <col min="7426" max="7426" width="19.140625" style="3" customWidth="1"/>
    <col min="7427" max="7427" width="13" style="3" customWidth="1"/>
    <col min="7428" max="7428" width="15.5703125" style="3" customWidth="1"/>
    <col min="7429" max="7429" width="10.140625" style="3" customWidth="1"/>
    <col min="7430" max="7430" width="10.28515625" style="3" customWidth="1"/>
    <col min="7431" max="7431" width="10.140625" style="3" customWidth="1"/>
    <col min="7432" max="7433" width="10.28515625" style="3" customWidth="1"/>
    <col min="7434" max="7434" width="20.85546875" style="3" customWidth="1"/>
    <col min="7435" max="7680" width="9.140625" style="3"/>
    <col min="7681" max="7681" width="10.85546875" style="3" customWidth="1"/>
    <col min="7682" max="7682" width="19.140625" style="3" customWidth="1"/>
    <col min="7683" max="7683" width="13" style="3" customWidth="1"/>
    <col min="7684" max="7684" width="15.5703125" style="3" customWidth="1"/>
    <col min="7685" max="7685" width="10.140625" style="3" customWidth="1"/>
    <col min="7686" max="7686" width="10.28515625" style="3" customWidth="1"/>
    <col min="7687" max="7687" width="10.140625" style="3" customWidth="1"/>
    <col min="7688" max="7689" width="10.28515625" style="3" customWidth="1"/>
    <col min="7690" max="7690" width="20.85546875" style="3" customWidth="1"/>
    <col min="7691" max="7936" width="9.140625" style="3"/>
    <col min="7937" max="7937" width="10.85546875" style="3" customWidth="1"/>
    <col min="7938" max="7938" width="19.140625" style="3" customWidth="1"/>
    <col min="7939" max="7939" width="13" style="3" customWidth="1"/>
    <col min="7940" max="7940" width="15.5703125" style="3" customWidth="1"/>
    <col min="7941" max="7941" width="10.140625" style="3" customWidth="1"/>
    <col min="7942" max="7942" width="10.28515625" style="3" customWidth="1"/>
    <col min="7943" max="7943" width="10.140625" style="3" customWidth="1"/>
    <col min="7944" max="7945" width="10.28515625" style="3" customWidth="1"/>
    <col min="7946" max="7946" width="20.85546875" style="3" customWidth="1"/>
    <col min="7947" max="8192" width="9.140625" style="3"/>
    <col min="8193" max="8193" width="10.85546875" style="3" customWidth="1"/>
    <col min="8194" max="8194" width="19.140625" style="3" customWidth="1"/>
    <col min="8195" max="8195" width="13" style="3" customWidth="1"/>
    <col min="8196" max="8196" width="15.5703125" style="3" customWidth="1"/>
    <col min="8197" max="8197" width="10.140625" style="3" customWidth="1"/>
    <col min="8198" max="8198" width="10.28515625" style="3" customWidth="1"/>
    <col min="8199" max="8199" width="10.140625" style="3" customWidth="1"/>
    <col min="8200" max="8201" width="10.28515625" style="3" customWidth="1"/>
    <col min="8202" max="8202" width="20.85546875" style="3" customWidth="1"/>
    <col min="8203" max="8448" width="9.140625" style="3"/>
    <col min="8449" max="8449" width="10.85546875" style="3" customWidth="1"/>
    <col min="8450" max="8450" width="19.140625" style="3" customWidth="1"/>
    <col min="8451" max="8451" width="13" style="3" customWidth="1"/>
    <col min="8452" max="8452" width="15.5703125" style="3" customWidth="1"/>
    <col min="8453" max="8453" width="10.140625" style="3" customWidth="1"/>
    <col min="8454" max="8454" width="10.28515625" style="3" customWidth="1"/>
    <col min="8455" max="8455" width="10.140625" style="3" customWidth="1"/>
    <col min="8456" max="8457" width="10.28515625" style="3" customWidth="1"/>
    <col min="8458" max="8458" width="20.85546875" style="3" customWidth="1"/>
    <col min="8459" max="8704" width="9.140625" style="3"/>
    <col min="8705" max="8705" width="10.85546875" style="3" customWidth="1"/>
    <col min="8706" max="8706" width="19.140625" style="3" customWidth="1"/>
    <col min="8707" max="8707" width="13" style="3" customWidth="1"/>
    <col min="8708" max="8708" width="15.5703125" style="3" customWidth="1"/>
    <col min="8709" max="8709" width="10.140625" style="3" customWidth="1"/>
    <col min="8710" max="8710" width="10.28515625" style="3" customWidth="1"/>
    <col min="8711" max="8711" width="10.140625" style="3" customWidth="1"/>
    <col min="8712" max="8713" width="10.28515625" style="3" customWidth="1"/>
    <col min="8714" max="8714" width="20.85546875" style="3" customWidth="1"/>
    <col min="8715" max="8960" width="9.140625" style="3"/>
    <col min="8961" max="8961" width="10.85546875" style="3" customWidth="1"/>
    <col min="8962" max="8962" width="19.140625" style="3" customWidth="1"/>
    <col min="8963" max="8963" width="13" style="3" customWidth="1"/>
    <col min="8964" max="8964" width="15.5703125" style="3" customWidth="1"/>
    <col min="8965" max="8965" width="10.140625" style="3" customWidth="1"/>
    <col min="8966" max="8966" width="10.28515625" style="3" customWidth="1"/>
    <col min="8967" max="8967" width="10.140625" style="3" customWidth="1"/>
    <col min="8968" max="8969" width="10.28515625" style="3" customWidth="1"/>
    <col min="8970" max="8970" width="20.85546875" style="3" customWidth="1"/>
    <col min="8971" max="9216" width="9.140625" style="3"/>
    <col min="9217" max="9217" width="10.85546875" style="3" customWidth="1"/>
    <col min="9218" max="9218" width="19.140625" style="3" customWidth="1"/>
    <col min="9219" max="9219" width="13" style="3" customWidth="1"/>
    <col min="9220" max="9220" width="15.5703125" style="3" customWidth="1"/>
    <col min="9221" max="9221" width="10.140625" style="3" customWidth="1"/>
    <col min="9222" max="9222" width="10.28515625" style="3" customWidth="1"/>
    <col min="9223" max="9223" width="10.140625" style="3" customWidth="1"/>
    <col min="9224" max="9225" width="10.28515625" style="3" customWidth="1"/>
    <col min="9226" max="9226" width="20.85546875" style="3" customWidth="1"/>
    <col min="9227" max="9472" width="9.140625" style="3"/>
    <col min="9473" max="9473" width="10.85546875" style="3" customWidth="1"/>
    <col min="9474" max="9474" width="19.140625" style="3" customWidth="1"/>
    <col min="9475" max="9475" width="13" style="3" customWidth="1"/>
    <col min="9476" max="9476" width="15.5703125" style="3" customWidth="1"/>
    <col min="9477" max="9477" width="10.140625" style="3" customWidth="1"/>
    <col min="9478" max="9478" width="10.28515625" style="3" customWidth="1"/>
    <col min="9479" max="9479" width="10.140625" style="3" customWidth="1"/>
    <col min="9480" max="9481" width="10.28515625" style="3" customWidth="1"/>
    <col min="9482" max="9482" width="20.85546875" style="3" customWidth="1"/>
    <col min="9483" max="9728" width="9.140625" style="3"/>
    <col min="9729" max="9729" width="10.85546875" style="3" customWidth="1"/>
    <col min="9730" max="9730" width="19.140625" style="3" customWidth="1"/>
    <col min="9731" max="9731" width="13" style="3" customWidth="1"/>
    <col min="9732" max="9732" width="15.5703125" style="3" customWidth="1"/>
    <col min="9733" max="9733" width="10.140625" style="3" customWidth="1"/>
    <col min="9734" max="9734" width="10.28515625" style="3" customWidth="1"/>
    <col min="9735" max="9735" width="10.140625" style="3" customWidth="1"/>
    <col min="9736" max="9737" width="10.28515625" style="3" customWidth="1"/>
    <col min="9738" max="9738" width="20.85546875" style="3" customWidth="1"/>
    <col min="9739" max="9984" width="9.140625" style="3"/>
    <col min="9985" max="9985" width="10.85546875" style="3" customWidth="1"/>
    <col min="9986" max="9986" width="19.140625" style="3" customWidth="1"/>
    <col min="9987" max="9987" width="13" style="3" customWidth="1"/>
    <col min="9988" max="9988" width="15.5703125" style="3" customWidth="1"/>
    <col min="9989" max="9989" width="10.140625" style="3" customWidth="1"/>
    <col min="9990" max="9990" width="10.28515625" style="3" customWidth="1"/>
    <col min="9991" max="9991" width="10.140625" style="3" customWidth="1"/>
    <col min="9992" max="9993" width="10.28515625" style="3" customWidth="1"/>
    <col min="9994" max="9994" width="20.85546875" style="3" customWidth="1"/>
    <col min="9995" max="10240" width="9.140625" style="3"/>
    <col min="10241" max="10241" width="10.85546875" style="3" customWidth="1"/>
    <col min="10242" max="10242" width="19.140625" style="3" customWidth="1"/>
    <col min="10243" max="10243" width="13" style="3" customWidth="1"/>
    <col min="10244" max="10244" width="15.5703125" style="3" customWidth="1"/>
    <col min="10245" max="10245" width="10.140625" style="3" customWidth="1"/>
    <col min="10246" max="10246" width="10.28515625" style="3" customWidth="1"/>
    <col min="10247" max="10247" width="10.140625" style="3" customWidth="1"/>
    <col min="10248" max="10249" width="10.28515625" style="3" customWidth="1"/>
    <col min="10250" max="10250" width="20.85546875" style="3" customWidth="1"/>
    <col min="10251" max="10496" width="9.140625" style="3"/>
    <col min="10497" max="10497" width="10.85546875" style="3" customWidth="1"/>
    <col min="10498" max="10498" width="19.140625" style="3" customWidth="1"/>
    <col min="10499" max="10499" width="13" style="3" customWidth="1"/>
    <col min="10500" max="10500" width="15.5703125" style="3" customWidth="1"/>
    <col min="10501" max="10501" width="10.140625" style="3" customWidth="1"/>
    <col min="10502" max="10502" width="10.28515625" style="3" customWidth="1"/>
    <col min="10503" max="10503" width="10.140625" style="3" customWidth="1"/>
    <col min="10504" max="10505" width="10.28515625" style="3" customWidth="1"/>
    <col min="10506" max="10506" width="20.85546875" style="3" customWidth="1"/>
    <col min="10507" max="10752" width="9.140625" style="3"/>
    <col min="10753" max="10753" width="10.85546875" style="3" customWidth="1"/>
    <col min="10754" max="10754" width="19.140625" style="3" customWidth="1"/>
    <col min="10755" max="10755" width="13" style="3" customWidth="1"/>
    <col min="10756" max="10756" width="15.5703125" style="3" customWidth="1"/>
    <col min="10757" max="10757" width="10.140625" style="3" customWidth="1"/>
    <col min="10758" max="10758" width="10.28515625" style="3" customWidth="1"/>
    <col min="10759" max="10759" width="10.140625" style="3" customWidth="1"/>
    <col min="10760" max="10761" width="10.28515625" style="3" customWidth="1"/>
    <col min="10762" max="10762" width="20.85546875" style="3" customWidth="1"/>
    <col min="10763" max="11008" width="9.140625" style="3"/>
    <col min="11009" max="11009" width="10.85546875" style="3" customWidth="1"/>
    <col min="11010" max="11010" width="19.140625" style="3" customWidth="1"/>
    <col min="11011" max="11011" width="13" style="3" customWidth="1"/>
    <col min="11012" max="11012" width="15.5703125" style="3" customWidth="1"/>
    <col min="11013" max="11013" width="10.140625" style="3" customWidth="1"/>
    <col min="11014" max="11014" width="10.28515625" style="3" customWidth="1"/>
    <col min="11015" max="11015" width="10.140625" style="3" customWidth="1"/>
    <col min="11016" max="11017" width="10.28515625" style="3" customWidth="1"/>
    <col min="11018" max="11018" width="20.85546875" style="3" customWidth="1"/>
    <col min="11019" max="11264" width="9.140625" style="3"/>
    <col min="11265" max="11265" width="10.85546875" style="3" customWidth="1"/>
    <col min="11266" max="11266" width="19.140625" style="3" customWidth="1"/>
    <col min="11267" max="11267" width="13" style="3" customWidth="1"/>
    <col min="11268" max="11268" width="15.5703125" style="3" customWidth="1"/>
    <col min="11269" max="11269" width="10.140625" style="3" customWidth="1"/>
    <col min="11270" max="11270" width="10.28515625" style="3" customWidth="1"/>
    <col min="11271" max="11271" width="10.140625" style="3" customWidth="1"/>
    <col min="11272" max="11273" width="10.28515625" style="3" customWidth="1"/>
    <col min="11274" max="11274" width="20.85546875" style="3" customWidth="1"/>
    <col min="11275" max="11520" width="9.140625" style="3"/>
    <col min="11521" max="11521" width="10.85546875" style="3" customWidth="1"/>
    <col min="11522" max="11522" width="19.140625" style="3" customWidth="1"/>
    <col min="11523" max="11523" width="13" style="3" customWidth="1"/>
    <col min="11524" max="11524" width="15.5703125" style="3" customWidth="1"/>
    <col min="11525" max="11525" width="10.140625" style="3" customWidth="1"/>
    <col min="11526" max="11526" width="10.28515625" style="3" customWidth="1"/>
    <col min="11527" max="11527" width="10.140625" style="3" customWidth="1"/>
    <col min="11528" max="11529" width="10.28515625" style="3" customWidth="1"/>
    <col min="11530" max="11530" width="20.85546875" style="3" customWidth="1"/>
    <col min="11531" max="11776" width="9.140625" style="3"/>
    <col min="11777" max="11777" width="10.85546875" style="3" customWidth="1"/>
    <col min="11778" max="11778" width="19.140625" style="3" customWidth="1"/>
    <col min="11779" max="11779" width="13" style="3" customWidth="1"/>
    <col min="11780" max="11780" width="15.5703125" style="3" customWidth="1"/>
    <col min="11781" max="11781" width="10.140625" style="3" customWidth="1"/>
    <col min="11782" max="11782" width="10.28515625" style="3" customWidth="1"/>
    <col min="11783" max="11783" width="10.140625" style="3" customWidth="1"/>
    <col min="11784" max="11785" width="10.28515625" style="3" customWidth="1"/>
    <col min="11786" max="11786" width="20.85546875" style="3" customWidth="1"/>
    <col min="11787" max="12032" width="9.140625" style="3"/>
    <col min="12033" max="12033" width="10.85546875" style="3" customWidth="1"/>
    <col min="12034" max="12034" width="19.140625" style="3" customWidth="1"/>
    <col min="12035" max="12035" width="13" style="3" customWidth="1"/>
    <col min="12036" max="12036" width="15.5703125" style="3" customWidth="1"/>
    <col min="12037" max="12037" width="10.140625" style="3" customWidth="1"/>
    <col min="12038" max="12038" width="10.28515625" style="3" customWidth="1"/>
    <col min="12039" max="12039" width="10.140625" style="3" customWidth="1"/>
    <col min="12040" max="12041" width="10.28515625" style="3" customWidth="1"/>
    <col min="12042" max="12042" width="20.85546875" style="3" customWidth="1"/>
    <col min="12043" max="12288" width="9.140625" style="3"/>
    <col min="12289" max="12289" width="10.85546875" style="3" customWidth="1"/>
    <col min="12290" max="12290" width="19.140625" style="3" customWidth="1"/>
    <col min="12291" max="12291" width="13" style="3" customWidth="1"/>
    <col min="12292" max="12292" width="15.5703125" style="3" customWidth="1"/>
    <col min="12293" max="12293" width="10.140625" style="3" customWidth="1"/>
    <col min="12294" max="12294" width="10.28515625" style="3" customWidth="1"/>
    <col min="12295" max="12295" width="10.140625" style="3" customWidth="1"/>
    <col min="12296" max="12297" width="10.28515625" style="3" customWidth="1"/>
    <col min="12298" max="12298" width="20.85546875" style="3" customWidth="1"/>
    <col min="12299" max="12544" width="9.140625" style="3"/>
    <col min="12545" max="12545" width="10.85546875" style="3" customWidth="1"/>
    <col min="12546" max="12546" width="19.140625" style="3" customWidth="1"/>
    <col min="12547" max="12547" width="13" style="3" customWidth="1"/>
    <col min="12548" max="12548" width="15.5703125" style="3" customWidth="1"/>
    <col min="12549" max="12549" width="10.140625" style="3" customWidth="1"/>
    <col min="12550" max="12550" width="10.28515625" style="3" customWidth="1"/>
    <col min="12551" max="12551" width="10.140625" style="3" customWidth="1"/>
    <col min="12552" max="12553" width="10.28515625" style="3" customWidth="1"/>
    <col min="12554" max="12554" width="20.85546875" style="3" customWidth="1"/>
    <col min="12555" max="12800" width="9.140625" style="3"/>
    <col min="12801" max="12801" width="10.85546875" style="3" customWidth="1"/>
    <col min="12802" max="12802" width="19.140625" style="3" customWidth="1"/>
    <col min="12803" max="12803" width="13" style="3" customWidth="1"/>
    <col min="12804" max="12804" width="15.5703125" style="3" customWidth="1"/>
    <col min="12805" max="12805" width="10.140625" style="3" customWidth="1"/>
    <col min="12806" max="12806" width="10.28515625" style="3" customWidth="1"/>
    <col min="12807" max="12807" width="10.140625" style="3" customWidth="1"/>
    <col min="12808" max="12809" width="10.28515625" style="3" customWidth="1"/>
    <col min="12810" max="12810" width="20.85546875" style="3" customWidth="1"/>
    <col min="12811" max="13056" width="9.140625" style="3"/>
    <col min="13057" max="13057" width="10.85546875" style="3" customWidth="1"/>
    <col min="13058" max="13058" width="19.140625" style="3" customWidth="1"/>
    <col min="13059" max="13059" width="13" style="3" customWidth="1"/>
    <col min="13060" max="13060" width="15.5703125" style="3" customWidth="1"/>
    <col min="13061" max="13061" width="10.140625" style="3" customWidth="1"/>
    <col min="13062" max="13062" width="10.28515625" style="3" customWidth="1"/>
    <col min="13063" max="13063" width="10.140625" style="3" customWidth="1"/>
    <col min="13064" max="13065" width="10.28515625" style="3" customWidth="1"/>
    <col min="13066" max="13066" width="20.85546875" style="3" customWidth="1"/>
    <col min="13067" max="13312" width="9.140625" style="3"/>
    <col min="13313" max="13313" width="10.85546875" style="3" customWidth="1"/>
    <col min="13314" max="13314" width="19.140625" style="3" customWidth="1"/>
    <col min="13315" max="13315" width="13" style="3" customWidth="1"/>
    <col min="13316" max="13316" width="15.5703125" style="3" customWidth="1"/>
    <col min="13317" max="13317" width="10.140625" style="3" customWidth="1"/>
    <col min="13318" max="13318" width="10.28515625" style="3" customWidth="1"/>
    <col min="13319" max="13319" width="10.140625" style="3" customWidth="1"/>
    <col min="13320" max="13321" width="10.28515625" style="3" customWidth="1"/>
    <col min="13322" max="13322" width="20.85546875" style="3" customWidth="1"/>
    <col min="13323" max="13568" width="9.140625" style="3"/>
    <col min="13569" max="13569" width="10.85546875" style="3" customWidth="1"/>
    <col min="13570" max="13570" width="19.140625" style="3" customWidth="1"/>
    <col min="13571" max="13571" width="13" style="3" customWidth="1"/>
    <col min="13572" max="13572" width="15.5703125" style="3" customWidth="1"/>
    <col min="13573" max="13573" width="10.140625" style="3" customWidth="1"/>
    <col min="13574" max="13574" width="10.28515625" style="3" customWidth="1"/>
    <col min="13575" max="13575" width="10.140625" style="3" customWidth="1"/>
    <col min="13576" max="13577" width="10.28515625" style="3" customWidth="1"/>
    <col min="13578" max="13578" width="20.85546875" style="3" customWidth="1"/>
    <col min="13579" max="13824" width="9.140625" style="3"/>
    <col min="13825" max="13825" width="10.85546875" style="3" customWidth="1"/>
    <col min="13826" max="13826" width="19.140625" style="3" customWidth="1"/>
    <col min="13827" max="13827" width="13" style="3" customWidth="1"/>
    <col min="13828" max="13828" width="15.5703125" style="3" customWidth="1"/>
    <col min="13829" max="13829" width="10.140625" style="3" customWidth="1"/>
    <col min="13830" max="13830" width="10.28515625" style="3" customWidth="1"/>
    <col min="13831" max="13831" width="10.140625" style="3" customWidth="1"/>
    <col min="13832" max="13833" width="10.28515625" style="3" customWidth="1"/>
    <col min="13834" max="13834" width="20.85546875" style="3" customWidth="1"/>
    <col min="13835" max="14080" width="9.140625" style="3"/>
    <col min="14081" max="14081" width="10.85546875" style="3" customWidth="1"/>
    <col min="14082" max="14082" width="19.140625" style="3" customWidth="1"/>
    <col min="14083" max="14083" width="13" style="3" customWidth="1"/>
    <col min="14084" max="14084" width="15.5703125" style="3" customWidth="1"/>
    <col min="14085" max="14085" width="10.140625" style="3" customWidth="1"/>
    <col min="14086" max="14086" width="10.28515625" style="3" customWidth="1"/>
    <col min="14087" max="14087" width="10.140625" style="3" customWidth="1"/>
    <col min="14088" max="14089" width="10.28515625" style="3" customWidth="1"/>
    <col min="14090" max="14090" width="20.85546875" style="3" customWidth="1"/>
    <col min="14091" max="14336" width="9.140625" style="3"/>
    <col min="14337" max="14337" width="10.85546875" style="3" customWidth="1"/>
    <col min="14338" max="14338" width="19.140625" style="3" customWidth="1"/>
    <col min="14339" max="14339" width="13" style="3" customWidth="1"/>
    <col min="14340" max="14340" width="15.5703125" style="3" customWidth="1"/>
    <col min="14341" max="14341" width="10.140625" style="3" customWidth="1"/>
    <col min="14342" max="14342" width="10.28515625" style="3" customWidth="1"/>
    <col min="14343" max="14343" width="10.140625" style="3" customWidth="1"/>
    <col min="14344" max="14345" width="10.28515625" style="3" customWidth="1"/>
    <col min="14346" max="14346" width="20.85546875" style="3" customWidth="1"/>
    <col min="14347" max="14592" width="9.140625" style="3"/>
    <col min="14593" max="14593" width="10.85546875" style="3" customWidth="1"/>
    <col min="14594" max="14594" width="19.140625" style="3" customWidth="1"/>
    <col min="14595" max="14595" width="13" style="3" customWidth="1"/>
    <col min="14596" max="14596" width="15.5703125" style="3" customWidth="1"/>
    <col min="14597" max="14597" width="10.140625" style="3" customWidth="1"/>
    <col min="14598" max="14598" width="10.28515625" style="3" customWidth="1"/>
    <col min="14599" max="14599" width="10.140625" style="3" customWidth="1"/>
    <col min="14600" max="14601" width="10.28515625" style="3" customWidth="1"/>
    <col min="14602" max="14602" width="20.85546875" style="3" customWidth="1"/>
    <col min="14603" max="14848" width="9.140625" style="3"/>
    <col min="14849" max="14849" width="10.85546875" style="3" customWidth="1"/>
    <col min="14850" max="14850" width="19.140625" style="3" customWidth="1"/>
    <col min="14851" max="14851" width="13" style="3" customWidth="1"/>
    <col min="14852" max="14852" width="15.5703125" style="3" customWidth="1"/>
    <col min="14853" max="14853" width="10.140625" style="3" customWidth="1"/>
    <col min="14854" max="14854" width="10.28515625" style="3" customWidth="1"/>
    <col min="14855" max="14855" width="10.140625" style="3" customWidth="1"/>
    <col min="14856" max="14857" width="10.28515625" style="3" customWidth="1"/>
    <col min="14858" max="14858" width="20.85546875" style="3" customWidth="1"/>
    <col min="14859" max="15104" width="9.140625" style="3"/>
    <col min="15105" max="15105" width="10.85546875" style="3" customWidth="1"/>
    <col min="15106" max="15106" width="19.140625" style="3" customWidth="1"/>
    <col min="15107" max="15107" width="13" style="3" customWidth="1"/>
    <col min="15108" max="15108" width="15.5703125" style="3" customWidth="1"/>
    <col min="15109" max="15109" width="10.140625" style="3" customWidth="1"/>
    <col min="15110" max="15110" width="10.28515625" style="3" customWidth="1"/>
    <col min="15111" max="15111" width="10.140625" style="3" customWidth="1"/>
    <col min="15112" max="15113" width="10.28515625" style="3" customWidth="1"/>
    <col min="15114" max="15114" width="20.85546875" style="3" customWidth="1"/>
    <col min="15115" max="15360" width="9.140625" style="3"/>
    <col min="15361" max="15361" width="10.85546875" style="3" customWidth="1"/>
    <col min="15362" max="15362" width="19.140625" style="3" customWidth="1"/>
    <col min="15363" max="15363" width="13" style="3" customWidth="1"/>
    <col min="15364" max="15364" width="15.5703125" style="3" customWidth="1"/>
    <col min="15365" max="15365" width="10.140625" style="3" customWidth="1"/>
    <col min="15366" max="15366" width="10.28515625" style="3" customWidth="1"/>
    <col min="15367" max="15367" width="10.140625" style="3" customWidth="1"/>
    <col min="15368" max="15369" width="10.28515625" style="3" customWidth="1"/>
    <col min="15370" max="15370" width="20.85546875" style="3" customWidth="1"/>
    <col min="15371" max="15616" width="9.140625" style="3"/>
    <col min="15617" max="15617" width="10.85546875" style="3" customWidth="1"/>
    <col min="15618" max="15618" width="19.140625" style="3" customWidth="1"/>
    <col min="15619" max="15619" width="13" style="3" customWidth="1"/>
    <col min="15620" max="15620" width="15.5703125" style="3" customWidth="1"/>
    <col min="15621" max="15621" width="10.140625" style="3" customWidth="1"/>
    <col min="15622" max="15622" width="10.28515625" style="3" customWidth="1"/>
    <col min="15623" max="15623" width="10.140625" style="3" customWidth="1"/>
    <col min="15624" max="15625" width="10.28515625" style="3" customWidth="1"/>
    <col min="15626" max="15626" width="20.85546875" style="3" customWidth="1"/>
    <col min="15627" max="15872" width="9.140625" style="3"/>
    <col min="15873" max="15873" width="10.85546875" style="3" customWidth="1"/>
    <col min="15874" max="15874" width="19.140625" style="3" customWidth="1"/>
    <col min="15875" max="15875" width="13" style="3" customWidth="1"/>
    <col min="15876" max="15876" width="15.5703125" style="3" customWidth="1"/>
    <col min="15877" max="15877" width="10.140625" style="3" customWidth="1"/>
    <col min="15878" max="15878" width="10.28515625" style="3" customWidth="1"/>
    <col min="15879" max="15879" width="10.140625" style="3" customWidth="1"/>
    <col min="15880" max="15881" width="10.28515625" style="3" customWidth="1"/>
    <col min="15882" max="15882" width="20.85546875" style="3" customWidth="1"/>
    <col min="15883" max="16128" width="9.140625" style="3"/>
    <col min="16129" max="16129" width="10.85546875" style="3" customWidth="1"/>
    <col min="16130" max="16130" width="19.140625" style="3" customWidth="1"/>
    <col min="16131" max="16131" width="13" style="3" customWidth="1"/>
    <col min="16132" max="16132" width="15.5703125" style="3" customWidth="1"/>
    <col min="16133" max="16133" width="10.140625" style="3" customWidth="1"/>
    <col min="16134" max="16134" width="10.28515625" style="3" customWidth="1"/>
    <col min="16135" max="16135" width="10.140625" style="3" customWidth="1"/>
    <col min="16136" max="16137" width="10.28515625" style="3" customWidth="1"/>
    <col min="16138" max="16138" width="20.85546875" style="3" customWidth="1"/>
    <col min="16139" max="16384" width="9.140625" style="3"/>
  </cols>
  <sheetData>
    <row r="1" spans="1:10" hidden="1" x14ac:dyDescent="0.2">
      <c r="J1" s="3" t="s">
        <v>183</v>
      </c>
    </row>
    <row r="2" spans="1:10" hidden="1" x14ac:dyDescent="0.2">
      <c r="I2" s="6"/>
      <c r="J2" s="3" t="s">
        <v>184</v>
      </c>
    </row>
    <row r="3" spans="1:10" hidden="1" x14ac:dyDescent="0.2">
      <c r="J3" s="7" t="s">
        <v>185</v>
      </c>
    </row>
    <row r="4" spans="1:10" ht="12.75" hidden="1" customHeight="1" x14ac:dyDescent="0.2">
      <c r="J4" s="7"/>
    </row>
    <row r="5" spans="1:10" ht="18.75" hidden="1" customHeight="1" x14ac:dyDescent="0.2">
      <c r="A5" s="371" t="s">
        <v>181</v>
      </c>
      <c r="B5" s="371"/>
      <c r="C5" s="371"/>
      <c r="D5" s="371"/>
      <c r="E5" s="371"/>
      <c r="F5" s="371"/>
      <c r="G5" s="371"/>
      <c r="H5" s="371"/>
      <c r="I5" s="371"/>
      <c r="J5" s="371"/>
    </row>
    <row r="6" spans="1:10" hidden="1" x14ac:dyDescent="0.2">
      <c r="A6" s="372" t="s">
        <v>182</v>
      </c>
      <c r="B6" s="372"/>
      <c r="C6" s="372"/>
      <c r="D6" s="372"/>
      <c r="E6" s="372"/>
      <c r="F6" s="372"/>
      <c r="G6" s="372"/>
      <c r="H6" s="372"/>
      <c r="I6" s="372"/>
      <c r="J6" s="372"/>
    </row>
    <row r="7" spans="1:10" ht="14.25" hidden="1" customHeight="1" x14ac:dyDescent="0.2">
      <c r="A7" s="8"/>
      <c r="B7" s="8"/>
      <c r="C7" s="9"/>
      <c r="D7" s="9"/>
      <c r="E7" s="10"/>
      <c r="F7" s="11"/>
      <c r="G7" s="11"/>
      <c r="H7" s="11"/>
      <c r="I7" s="11"/>
      <c r="J7" s="9"/>
    </row>
    <row r="8" spans="1:10" ht="24" hidden="1" customHeight="1" thickBot="1" x14ac:dyDescent="0.25">
      <c r="A8" s="3"/>
      <c r="B8" s="8"/>
      <c r="C8" s="9"/>
      <c r="D8" s="9"/>
      <c r="E8" s="10"/>
      <c r="F8" s="11"/>
      <c r="G8" s="11"/>
      <c r="H8" s="11"/>
      <c r="I8" s="11"/>
    </row>
    <row r="9" spans="1:10" ht="57" hidden="1" customHeight="1" x14ac:dyDescent="0.2">
      <c r="A9" s="373" t="s">
        <v>1</v>
      </c>
      <c r="B9" s="374"/>
      <c r="C9" s="374" t="s">
        <v>2</v>
      </c>
      <c r="D9" s="374" t="s">
        <v>3</v>
      </c>
      <c r="E9" s="374" t="s">
        <v>4</v>
      </c>
      <c r="F9" s="374"/>
      <c r="G9" s="374"/>
      <c r="H9" s="374"/>
      <c r="I9" s="374"/>
      <c r="J9" s="376" t="s">
        <v>5</v>
      </c>
    </row>
    <row r="10" spans="1:10" ht="33" hidden="1" customHeight="1" x14ac:dyDescent="0.2">
      <c r="A10" s="379" t="s">
        <v>6</v>
      </c>
      <c r="B10" s="381" t="s">
        <v>7</v>
      </c>
      <c r="C10" s="320"/>
      <c r="D10" s="320"/>
      <c r="E10" s="320"/>
      <c r="F10" s="320"/>
      <c r="G10" s="320"/>
      <c r="H10" s="320"/>
      <c r="I10" s="320"/>
      <c r="J10" s="377"/>
    </row>
    <row r="11" spans="1:10" ht="33.75" hidden="1" customHeight="1" thickBot="1" x14ac:dyDescent="0.25">
      <c r="A11" s="380"/>
      <c r="B11" s="382"/>
      <c r="C11" s="375"/>
      <c r="D11" s="375"/>
      <c r="E11" s="128" t="s">
        <v>8</v>
      </c>
      <c r="F11" s="126" t="s">
        <v>9</v>
      </c>
      <c r="G11" s="126" t="s">
        <v>10</v>
      </c>
      <c r="H11" s="126" t="s">
        <v>11</v>
      </c>
      <c r="I11" s="126" t="s">
        <v>12</v>
      </c>
      <c r="J11" s="378"/>
    </row>
    <row r="12" spans="1:10" hidden="1" x14ac:dyDescent="0.2">
      <c r="A12" s="14" t="s">
        <v>13</v>
      </c>
      <c r="B12" s="300" t="s">
        <v>14</v>
      </c>
      <c r="C12" s="300"/>
      <c r="D12" s="300"/>
      <c r="E12" s="300"/>
      <c r="F12" s="300"/>
      <c r="G12" s="300"/>
      <c r="H12" s="300"/>
      <c r="I12" s="300"/>
      <c r="J12" s="300"/>
    </row>
    <row r="13" spans="1:10" hidden="1" x14ac:dyDescent="0.2">
      <c r="A13" s="270" t="s">
        <v>18</v>
      </c>
      <c r="B13" s="268" t="s">
        <v>19</v>
      </c>
      <c r="C13" s="119" t="s">
        <v>22</v>
      </c>
      <c r="D13" s="119" t="s">
        <v>20</v>
      </c>
      <c r="E13" s="125">
        <f>22.5*1.055</f>
        <v>23.737499999999997</v>
      </c>
      <c r="F13" s="122">
        <f>23.63*1.055</f>
        <v>24.929649999999999</v>
      </c>
      <c r="G13" s="122"/>
      <c r="H13" s="122"/>
      <c r="I13" s="122"/>
      <c r="J13" s="269" t="s">
        <v>15</v>
      </c>
    </row>
    <row r="14" spans="1:10" ht="40.5" hidden="1" customHeight="1" x14ac:dyDescent="0.2">
      <c r="A14" s="270"/>
      <c r="B14" s="268"/>
      <c r="C14" s="119" t="s">
        <v>22</v>
      </c>
      <c r="D14" s="119" t="s">
        <v>23</v>
      </c>
      <c r="E14" s="121">
        <f>10.4*1.055</f>
        <v>10.972</v>
      </c>
      <c r="F14" s="21">
        <f>10.4*1.055</f>
        <v>10.972</v>
      </c>
      <c r="G14" s="122"/>
      <c r="H14" s="122"/>
      <c r="I14" s="122"/>
      <c r="J14" s="269"/>
    </row>
    <row r="15" spans="1:10" ht="53.25" hidden="1" customHeight="1" x14ac:dyDescent="0.2">
      <c r="A15" s="110" t="s">
        <v>24</v>
      </c>
      <c r="B15" s="120" t="s">
        <v>25</v>
      </c>
      <c r="C15" s="119" t="s">
        <v>22</v>
      </c>
      <c r="D15" s="119" t="s">
        <v>26</v>
      </c>
      <c r="E15" s="121">
        <f>24.5*1.055</f>
        <v>25.8475</v>
      </c>
      <c r="F15" s="21" t="s">
        <v>21</v>
      </c>
      <c r="G15" s="20" t="s">
        <v>21</v>
      </c>
      <c r="H15" s="122"/>
      <c r="I15" s="122"/>
      <c r="J15" s="119" t="s">
        <v>15</v>
      </c>
    </row>
    <row r="16" spans="1:10" hidden="1" x14ac:dyDescent="0.2">
      <c r="A16" s="270" t="s">
        <v>27</v>
      </c>
      <c r="B16" s="322" t="s">
        <v>28</v>
      </c>
      <c r="C16" s="119" t="s">
        <v>22</v>
      </c>
      <c r="D16" s="119" t="s">
        <v>26</v>
      </c>
      <c r="E16" s="121">
        <f>24.5*1.055</f>
        <v>25.8475</v>
      </c>
      <c r="F16" s="21">
        <f>25.73*1.055</f>
        <v>27.145149999999997</v>
      </c>
      <c r="G16" s="122">
        <v>27.145149999999997</v>
      </c>
      <c r="H16" s="122"/>
      <c r="I16" s="122"/>
      <c r="J16" s="269" t="s">
        <v>15</v>
      </c>
    </row>
    <row r="17" spans="1:10" ht="25.5" hidden="1" x14ac:dyDescent="0.2">
      <c r="A17" s="270"/>
      <c r="B17" s="322"/>
      <c r="C17" s="119" t="s">
        <v>22</v>
      </c>
      <c r="D17" s="119" t="s">
        <v>29</v>
      </c>
      <c r="E17" s="125">
        <f>10.4*1.055</f>
        <v>10.972</v>
      </c>
      <c r="F17" s="122">
        <f>10.4*1.055</f>
        <v>10.972</v>
      </c>
      <c r="G17" s="122">
        <f>10.4*1.055</f>
        <v>10.972</v>
      </c>
      <c r="H17" s="122"/>
      <c r="I17" s="122"/>
      <c r="J17" s="269"/>
    </row>
    <row r="18" spans="1:10" hidden="1" x14ac:dyDescent="0.2">
      <c r="A18" s="270"/>
      <c r="B18" s="322"/>
      <c r="C18" s="119" t="s">
        <v>37</v>
      </c>
      <c r="D18" s="119" t="s">
        <v>30</v>
      </c>
      <c r="E18" s="125">
        <f>1.055*19</f>
        <v>20.044999999999998</v>
      </c>
      <c r="F18" s="122">
        <f>23.74*$J$10</f>
        <v>0</v>
      </c>
      <c r="G18" s="122">
        <f>1.055*19.95</f>
        <v>21.047249999999998</v>
      </c>
      <c r="H18" s="122">
        <f>1.055*19.95</f>
        <v>21.047249999999998</v>
      </c>
      <c r="I18" s="21"/>
      <c r="J18" s="269"/>
    </row>
    <row r="19" spans="1:10" hidden="1" x14ac:dyDescent="0.2">
      <c r="A19" s="270" t="s">
        <v>31</v>
      </c>
      <c r="B19" s="268" t="s">
        <v>32</v>
      </c>
      <c r="C19" s="119" t="s">
        <v>22</v>
      </c>
      <c r="D19" s="119" t="s">
        <v>26</v>
      </c>
      <c r="E19" s="121">
        <f>24.5*1.055</f>
        <v>25.8475</v>
      </c>
      <c r="F19" s="21">
        <f>25.73*1.055</f>
        <v>27.145149999999997</v>
      </c>
      <c r="G19" s="122">
        <f>25.73*1.055</f>
        <v>27.145149999999997</v>
      </c>
      <c r="H19" s="122"/>
      <c r="J19" s="269" t="s">
        <v>15</v>
      </c>
    </row>
    <row r="20" spans="1:10" ht="25.5" hidden="1" x14ac:dyDescent="0.2">
      <c r="A20" s="270"/>
      <c r="B20" s="268"/>
      <c r="C20" s="119" t="s">
        <v>22</v>
      </c>
      <c r="D20" s="119" t="s">
        <v>29</v>
      </c>
      <c r="E20" s="121">
        <f>10.4*1.055</f>
        <v>10.972</v>
      </c>
      <c r="F20" s="121">
        <f>25.85*J10</f>
        <v>0</v>
      </c>
      <c r="G20" s="122">
        <f>10.4*1.055</f>
        <v>10.972</v>
      </c>
      <c r="H20" s="125"/>
      <c r="I20" s="122"/>
      <c r="J20" s="269"/>
    </row>
    <row r="21" spans="1:10" ht="45" hidden="1" customHeight="1" x14ac:dyDescent="0.2">
      <c r="A21" s="110" t="s">
        <v>33</v>
      </c>
      <c r="B21" s="120" t="s">
        <v>34</v>
      </c>
      <c r="C21" s="119" t="s">
        <v>22</v>
      </c>
      <c r="D21" s="119" t="s">
        <v>26</v>
      </c>
      <c r="E21" s="121">
        <f>24.5*1.055</f>
        <v>25.8475</v>
      </c>
      <c r="F21" s="21"/>
      <c r="G21" s="122"/>
      <c r="H21" s="122"/>
      <c r="I21" s="122"/>
      <c r="J21" s="119" t="s">
        <v>15</v>
      </c>
    </row>
    <row r="22" spans="1:10" hidden="1" x14ac:dyDescent="0.2">
      <c r="A22" s="110" t="s">
        <v>35</v>
      </c>
      <c r="B22" s="120" t="s">
        <v>36</v>
      </c>
      <c r="C22" s="119" t="s">
        <v>37</v>
      </c>
      <c r="D22" s="119" t="s">
        <v>38</v>
      </c>
      <c r="E22" s="121">
        <f>1.055*19</f>
        <v>20.044999999999998</v>
      </c>
      <c r="F22" s="21">
        <f>1.055*19.95</f>
        <v>21.047249999999998</v>
      </c>
      <c r="G22" s="122">
        <f>1.055*19.95</f>
        <v>21.047249999999998</v>
      </c>
      <c r="H22" s="122"/>
      <c r="I22" s="122"/>
      <c r="J22" s="119" t="s">
        <v>15</v>
      </c>
    </row>
    <row r="23" spans="1:10" hidden="1" x14ac:dyDescent="0.2">
      <c r="A23" s="270" t="s">
        <v>39</v>
      </c>
      <c r="B23" s="271" t="s">
        <v>40</v>
      </c>
      <c r="C23" s="118" t="s">
        <v>22</v>
      </c>
      <c r="D23" s="118" t="s">
        <v>38</v>
      </c>
      <c r="E23" s="121">
        <f>24.5*1.055</f>
        <v>25.8475</v>
      </c>
      <c r="F23" s="21">
        <f>23.63*1.055</f>
        <v>24.929649999999999</v>
      </c>
      <c r="G23" s="21">
        <f>23.63*1.055</f>
        <v>24.929649999999999</v>
      </c>
      <c r="H23" s="21"/>
      <c r="I23" s="21"/>
      <c r="J23" s="118" t="s">
        <v>15</v>
      </c>
    </row>
    <row r="24" spans="1:10" ht="25.5" hidden="1" x14ac:dyDescent="0.2">
      <c r="A24" s="270"/>
      <c r="B24" s="271"/>
      <c r="C24" s="118" t="s">
        <v>22</v>
      </c>
      <c r="D24" s="118" t="s">
        <v>41</v>
      </c>
      <c r="E24" s="121">
        <f>10.4*1.055</f>
        <v>10.972</v>
      </c>
      <c r="F24" s="21">
        <f>10.4*1.055</f>
        <v>10.972</v>
      </c>
      <c r="G24" s="21">
        <f>10.4*1.055</f>
        <v>10.972</v>
      </c>
      <c r="H24" s="21"/>
      <c r="I24" s="21"/>
      <c r="J24" s="118" t="s">
        <v>15</v>
      </c>
    </row>
    <row r="25" spans="1:10" hidden="1" x14ac:dyDescent="0.2">
      <c r="A25" s="270" t="s">
        <v>42</v>
      </c>
      <c r="B25" s="271" t="s">
        <v>43</v>
      </c>
      <c r="C25" s="118" t="s">
        <v>22</v>
      </c>
      <c r="D25" s="118" t="s">
        <v>38</v>
      </c>
      <c r="E25" s="121">
        <f>24.5*1.055</f>
        <v>25.8475</v>
      </c>
      <c r="F25" s="21">
        <f>23.63*1.055</f>
        <v>24.929649999999999</v>
      </c>
      <c r="G25" s="21">
        <f>23.63*1.055</f>
        <v>24.929649999999999</v>
      </c>
      <c r="H25" s="21"/>
      <c r="I25" s="21"/>
      <c r="J25" s="118" t="s">
        <v>15</v>
      </c>
    </row>
    <row r="26" spans="1:10" ht="25.5" hidden="1" x14ac:dyDescent="0.2">
      <c r="A26" s="270"/>
      <c r="B26" s="271"/>
      <c r="C26" s="118" t="s">
        <v>22</v>
      </c>
      <c r="D26" s="118" t="s">
        <v>41</v>
      </c>
      <c r="E26" s="121">
        <f>10.4*1.055</f>
        <v>10.972</v>
      </c>
      <c r="F26" s="121">
        <f>10.4*1.055</f>
        <v>10.972</v>
      </c>
      <c r="G26" s="21">
        <f>10.4*1.055</f>
        <v>10.972</v>
      </c>
      <c r="H26" s="21" t="s">
        <v>21</v>
      </c>
      <c r="I26" s="21"/>
      <c r="J26" s="118" t="s">
        <v>15</v>
      </c>
    </row>
    <row r="27" spans="1:10" hidden="1" x14ac:dyDescent="0.2">
      <c r="A27" s="270"/>
      <c r="B27" s="271"/>
      <c r="C27" s="118" t="s">
        <v>37</v>
      </c>
      <c r="D27" s="118" t="s">
        <v>44</v>
      </c>
      <c r="E27" s="121">
        <f>19*1.055</f>
        <v>20.044999999999998</v>
      </c>
      <c r="F27" s="21"/>
      <c r="G27" s="21">
        <f>19.95*1.055</f>
        <v>21.047249999999998</v>
      </c>
      <c r="H27" s="21"/>
      <c r="I27" s="21"/>
      <c r="J27" s="118" t="s">
        <v>15</v>
      </c>
    </row>
    <row r="28" spans="1:10" ht="38.25" hidden="1" x14ac:dyDescent="0.2">
      <c r="A28" s="110" t="s">
        <v>45</v>
      </c>
      <c r="B28" s="117" t="s">
        <v>46</v>
      </c>
      <c r="C28" s="118" t="s">
        <v>22</v>
      </c>
      <c r="D28" s="118" t="s">
        <v>26</v>
      </c>
      <c r="E28" s="121">
        <f>24.5*1.055</f>
        <v>25.8475</v>
      </c>
      <c r="F28" s="21"/>
      <c r="G28" s="21"/>
      <c r="H28" s="21"/>
      <c r="I28" s="21"/>
      <c r="J28" s="118" t="s">
        <v>15</v>
      </c>
    </row>
    <row r="29" spans="1:10" hidden="1" x14ac:dyDescent="0.2">
      <c r="A29" s="25" t="s">
        <v>16</v>
      </c>
      <c r="B29" s="266" t="s">
        <v>17</v>
      </c>
      <c r="C29" s="266"/>
      <c r="D29" s="266"/>
      <c r="E29" s="266"/>
      <c r="F29" s="266"/>
      <c r="G29" s="266"/>
      <c r="H29" s="266"/>
      <c r="I29" s="266"/>
      <c r="J29" s="266"/>
    </row>
    <row r="30" spans="1:10" hidden="1" x14ac:dyDescent="0.2">
      <c r="A30" s="270" t="s">
        <v>18</v>
      </c>
      <c r="B30" s="271" t="s">
        <v>19</v>
      </c>
      <c r="C30" s="118" t="s">
        <v>22</v>
      </c>
      <c r="D30" s="118" t="s">
        <v>47</v>
      </c>
      <c r="E30" s="121">
        <f>22.5*1.055</f>
        <v>23.737499999999997</v>
      </c>
      <c r="F30" s="21"/>
      <c r="G30" s="21"/>
      <c r="H30" s="21"/>
      <c r="I30" s="21"/>
      <c r="J30" s="273" t="s">
        <v>15</v>
      </c>
    </row>
    <row r="31" spans="1:10" ht="25.5" hidden="1" x14ac:dyDescent="0.2">
      <c r="A31" s="270"/>
      <c r="B31" s="271"/>
      <c r="C31" s="118" t="s">
        <v>22</v>
      </c>
      <c r="D31" s="118" t="s">
        <v>48</v>
      </c>
      <c r="E31" s="121">
        <f>10.4*1.055</f>
        <v>10.972</v>
      </c>
      <c r="F31" s="21"/>
      <c r="G31" s="21"/>
      <c r="H31" s="21"/>
      <c r="I31" s="21"/>
      <c r="J31" s="273"/>
    </row>
    <row r="32" spans="1:10" ht="38.25" hidden="1" x14ac:dyDescent="0.2">
      <c r="A32" s="110" t="s">
        <v>24</v>
      </c>
      <c r="B32" s="117" t="s">
        <v>25</v>
      </c>
      <c r="C32" s="118" t="s">
        <v>22</v>
      </c>
      <c r="D32" s="118" t="s">
        <v>49</v>
      </c>
      <c r="E32" s="121">
        <f>24.5*1.055</f>
        <v>25.8475</v>
      </c>
      <c r="F32" s="21" t="s">
        <v>21</v>
      </c>
      <c r="G32" s="21" t="s">
        <v>21</v>
      </c>
      <c r="H32" s="21"/>
      <c r="I32" s="21"/>
      <c r="J32" s="118" t="s">
        <v>15</v>
      </c>
    </row>
    <row r="33" spans="1:10" hidden="1" x14ac:dyDescent="0.2">
      <c r="A33" s="270" t="s">
        <v>27</v>
      </c>
      <c r="B33" s="323" t="s">
        <v>28</v>
      </c>
      <c r="C33" s="118" t="s">
        <v>22</v>
      </c>
      <c r="D33" s="118" t="s">
        <v>49</v>
      </c>
      <c r="E33" s="121">
        <f>24.5*1.055</f>
        <v>25.8475</v>
      </c>
      <c r="G33" s="21"/>
      <c r="H33" s="21"/>
      <c r="I33" s="21"/>
      <c r="J33" s="273" t="s">
        <v>15</v>
      </c>
    </row>
    <row r="34" spans="1:10" ht="25.5" hidden="1" x14ac:dyDescent="0.2">
      <c r="A34" s="270"/>
      <c r="B34" s="323"/>
      <c r="C34" s="118" t="s">
        <v>22</v>
      </c>
      <c r="D34" s="118" t="s">
        <v>50</v>
      </c>
      <c r="E34" s="121">
        <f>10.4*1.055</f>
        <v>10.972</v>
      </c>
      <c r="F34" s="21"/>
      <c r="G34" s="21"/>
      <c r="H34" s="21"/>
      <c r="I34" s="21"/>
      <c r="J34" s="273"/>
    </row>
    <row r="35" spans="1:10" hidden="1" x14ac:dyDescent="0.2">
      <c r="A35" s="270"/>
      <c r="B35" s="323"/>
      <c r="C35" s="118" t="s">
        <v>37</v>
      </c>
      <c r="D35" s="118" t="s">
        <v>26</v>
      </c>
      <c r="E35" s="121">
        <f>19*1.055</f>
        <v>20.044999999999998</v>
      </c>
      <c r="F35" s="21"/>
      <c r="G35" s="21">
        <f>1.055*19.95</f>
        <v>21.047249999999998</v>
      </c>
      <c r="H35" s="21"/>
      <c r="I35" s="21"/>
      <c r="J35" s="273"/>
    </row>
    <row r="36" spans="1:10" hidden="1" x14ac:dyDescent="0.2">
      <c r="A36" s="270" t="s">
        <v>31</v>
      </c>
      <c r="B36" s="271" t="s">
        <v>32</v>
      </c>
      <c r="C36" s="118" t="s">
        <v>22</v>
      </c>
      <c r="D36" s="118" t="s">
        <v>49</v>
      </c>
      <c r="E36" s="121">
        <f>24.5*1.055</f>
        <v>25.8475</v>
      </c>
      <c r="F36" s="21"/>
      <c r="G36" s="21"/>
      <c r="H36" s="21"/>
      <c r="I36" s="26"/>
      <c r="J36" s="273" t="s">
        <v>15</v>
      </c>
    </row>
    <row r="37" spans="1:10" ht="25.5" hidden="1" x14ac:dyDescent="0.2">
      <c r="A37" s="270"/>
      <c r="B37" s="271"/>
      <c r="C37" s="118" t="s">
        <v>22</v>
      </c>
      <c r="D37" s="118" t="s">
        <v>50</v>
      </c>
      <c r="E37" s="121">
        <f>10.4*1.055</f>
        <v>10.972</v>
      </c>
      <c r="F37" s="21"/>
      <c r="G37" s="21"/>
      <c r="H37" s="21"/>
      <c r="I37" s="26"/>
      <c r="J37" s="273"/>
    </row>
    <row r="38" spans="1:10" hidden="1" x14ac:dyDescent="0.2">
      <c r="A38" s="270" t="s">
        <v>33</v>
      </c>
      <c r="B38" s="271" t="s">
        <v>34</v>
      </c>
      <c r="C38" s="118" t="s">
        <v>22</v>
      </c>
      <c r="D38" s="118" t="s">
        <v>49</v>
      </c>
      <c r="E38" s="121">
        <f>24.5*1.055</f>
        <v>25.8475</v>
      </c>
      <c r="F38" s="21"/>
      <c r="G38" s="21"/>
      <c r="H38" s="21"/>
      <c r="I38" s="26"/>
      <c r="J38" s="118" t="s">
        <v>15</v>
      </c>
    </row>
    <row r="39" spans="1:10" ht="36.75" hidden="1" customHeight="1" x14ac:dyDescent="0.2">
      <c r="A39" s="270"/>
      <c r="B39" s="271"/>
      <c r="C39" s="118" t="s">
        <v>37</v>
      </c>
      <c r="D39" s="118" t="s">
        <v>26</v>
      </c>
      <c r="E39" s="121">
        <f>19*1.055</f>
        <v>20.044999999999998</v>
      </c>
      <c r="F39" s="21"/>
      <c r="G39" s="21"/>
      <c r="H39" s="26"/>
      <c r="I39" s="21"/>
      <c r="J39" s="118"/>
    </row>
    <row r="40" spans="1:10" hidden="1" x14ac:dyDescent="0.2">
      <c r="A40" s="110" t="s">
        <v>35</v>
      </c>
      <c r="B40" s="117" t="s">
        <v>36</v>
      </c>
      <c r="C40" s="118" t="s">
        <v>37</v>
      </c>
      <c r="D40" s="118" t="s">
        <v>20</v>
      </c>
      <c r="E40" s="121">
        <f>19*1.055</f>
        <v>20.044999999999998</v>
      </c>
      <c r="F40" s="21"/>
      <c r="G40" s="21"/>
      <c r="H40" s="21"/>
      <c r="I40" s="26"/>
      <c r="J40" s="118" t="s">
        <v>15</v>
      </c>
    </row>
    <row r="41" spans="1:10" hidden="1" x14ac:dyDescent="0.2">
      <c r="A41" s="270" t="s">
        <v>39</v>
      </c>
      <c r="B41" s="271" t="s">
        <v>40</v>
      </c>
      <c r="C41" s="118" t="s">
        <v>22</v>
      </c>
      <c r="D41" s="118" t="s">
        <v>20</v>
      </c>
      <c r="E41" s="121">
        <f>24.5*1.055</f>
        <v>25.8475</v>
      </c>
      <c r="F41" s="21"/>
      <c r="G41" s="21"/>
      <c r="H41" s="21"/>
      <c r="I41" s="26"/>
      <c r="J41" s="118" t="s">
        <v>15</v>
      </c>
    </row>
    <row r="42" spans="1:10" ht="25.5" hidden="1" x14ac:dyDescent="0.2">
      <c r="A42" s="270"/>
      <c r="B42" s="271"/>
      <c r="C42" s="118" t="s">
        <v>22</v>
      </c>
      <c r="D42" s="118" t="s">
        <v>23</v>
      </c>
      <c r="E42" s="121">
        <f>10.4*1.055</f>
        <v>10.972</v>
      </c>
      <c r="F42" s="21"/>
      <c r="G42" s="21"/>
      <c r="H42" s="21"/>
      <c r="I42" s="26"/>
      <c r="J42" s="118" t="s">
        <v>15</v>
      </c>
    </row>
    <row r="43" spans="1:10" hidden="1" x14ac:dyDescent="0.2">
      <c r="A43" s="270" t="s">
        <v>42</v>
      </c>
      <c r="B43" s="271" t="s">
        <v>43</v>
      </c>
      <c r="C43" s="118" t="s">
        <v>22</v>
      </c>
      <c r="D43" s="118" t="s">
        <v>20</v>
      </c>
      <c r="E43" s="121">
        <f>24.5*1.055</f>
        <v>25.8475</v>
      </c>
      <c r="F43" s="21"/>
      <c r="G43" s="21"/>
      <c r="H43" s="21"/>
      <c r="I43" s="26"/>
      <c r="J43" s="118" t="s">
        <v>15</v>
      </c>
    </row>
    <row r="44" spans="1:10" ht="25.5" hidden="1" x14ac:dyDescent="0.2">
      <c r="A44" s="270"/>
      <c r="B44" s="271"/>
      <c r="C44" s="118" t="s">
        <v>22</v>
      </c>
      <c r="D44" s="118" t="s">
        <v>23</v>
      </c>
      <c r="E44" s="121">
        <f>10.4*1.055</f>
        <v>10.972</v>
      </c>
      <c r="F44" s="21"/>
      <c r="G44" s="21"/>
      <c r="H44" s="26"/>
      <c r="I44" s="26"/>
      <c r="J44" s="118" t="s">
        <v>15</v>
      </c>
    </row>
    <row r="45" spans="1:10" ht="15.75" hidden="1" customHeight="1" x14ac:dyDescent="0.2">
      <c r="A45" s="270"/>
      <c r="B45" s="271"/>
      <c r="C45" s="118" t="s">
        <v>37</v>
      </c>
      <c r="D45" s="118" t="s">
        <v>38</v>
      </c>
      <c r="E45" s="121">
        <f>19*1.055</f>
        <v>20.044999999999998</v>
      </c>
      <c r="F45" s="21"/>
      <c r="G45" s="21">
        <f>19.95*1.055</f>
        <v>21.047249999999998</v>
      </c>
      <c r="H45" s="26"/>
      <c r="I45" s="26"/>
      <c r="J45" s="118" t="s">
        <v>15</v>
      </c>
    </row>
    <row r="46" spans="1:10" ht="15.75" customHeight="1" x14ac:dyDescent="0.2">
      <c r="J46" s="3" t="s">
        <v>183</v>
      </c>
    </row>
    <row r="47" spans="1:10" ht="15.75" customHeight="1" x14ac:dyDescent="0.2">
      <c r="I47" s="6"/>
      <c r="J47" s="3" t="s">
        <v>184</v>
      </c>
    </row>
    <row r="48" spans="1:10" ht="15.75" customHeight="1" x14ac:dyDescent="0.2">
      <c r="J48" s="7" t="s">
        <v>278</v>
      </c>
    </row>
    <row r="49" spans="1:10" ht="15.75" customHeight="1" x14ac:dyDescent="0.2">
      <c r="J49" s="7"/>
    </row>
    <row r="50" spans="1:10" ht="15.75" customHeight="1" x14ac:dyDescent="0.2">
      <c r="A50" s="371" t="s">
        <v>181</v>
      </c>
      <c r="B50" s="371"/>
      <c r="C50" s="371"/>
      <c r="D50" s="371"/>
      <c r="E50" s="371"/>
      <c r="F50" s="371"/>
      <c r="G50" s="371"/>
      <c r="H50" s="371"/>
      <c r="I50" s="371"/>
      <c r="J50" s="371"/>
    </row>
    <row r="51" spans="1:10" ht="15.75" customHeight="1" x14ac:dyDescent="0.2">
      <c r="A51" s="372" t="s">
        <v>182</v>
      </c>
      <c r="B51" s="372"/>
      <c r="C51" s="372"/>
      <c r="D51" s="372"/>
      <c r="E51" s="372"/>
      <c r="F51" s="372"/>
      <c r="G51" s="372"/>
      <c r="H51" s="372"/>
      <c r="I51" s="372"/>
      <c r="J51" s="372"/>
    </row>
    <row r="52" spans="1:10" x14ac:dyDescent="0.2">
      <c r="A52" s="143"/>
      <c r="B52" s="144"/>
      <c r="C52" s="145"/>
      <c r="D52" s="145"/>
      <c r="E52" s="146"/>
      <c r="F52" s="147"/>
      <c r="G52" s="147"/>
      <c r="H52" s="148"/>
      <c r="I52" s="148"/>
      <c r="J52" s="145"/>
    </row>
    <row r="53" spans="1:10" x14ac:dyDescent="0.2">
      <c r="A53" s="1" t="s">
        <v>0</v>
      </c>
      <c r="B53" s="144"/>
      <c r="C53" s="145"/>
      <c r="D53" s="145"/>
      <c r="E53" s="146"/>
      <c r="F53" s="147"/>
      <c r="G53" s="147"/>
      <c r="H53" s="148"/>
      <c r="I53" s="148"/>
      <c r="J53" s="145"/>
    </row>
    <row r="54" spans="1:10" x14ac:dyDescent="0.2">
      <c r="A54" s="143"/>
      <c r="B54" s="144"/>
      <c r="C54" s="145"/>
      <c r="D54" s="145"/>
      <c r="E54" s="146"/>
      <c r="F54" s="147"/>
      <c r="G54" s="147"/>
      <c r="H54" s="148"/>
      <c r="I54" s="148"/>
      <c r="J54" s="145"/>
    </row>
    <row r="55" spans="1:10" s="228" customFormat="1" x14ac:dyDescent="0.2">
      <c r="A55" s="143"/>
      <c r="B55" s="144"/>
      <c r="C55" s="145"/>
      <c r="D55" s="145"/>
      <c r="E55" s="146"/>
      <c r="F55" s="147"/>
      <c r="G55" s="147"/>
      <c r="H55" s="148"/>
      <c r="I55" s="148"/>
      <c r="J55" s="145"/>
    </row>
    <row r="56" spans="1:10" ht="51" x14ac:dyDescent="0.2">
      <c r="A56" s="320" t="s">
        <v>1</v>
      </c>
      <c r="B56" s="320"/>
      <c r="C56" s="127" t="s">
        <v>2</v>
      </c>
      <c r="D56" s="127" t="s">
        <v>3</v>
      </c>
      <c r="E56" s="320" t="s">
        <v>4</v>
      </c>
      <c r="F56" s="320"/>
      <c r="G56" s="320"/>
      <c r="H56" s="320"/>
      <c r="I56" s="320"/>
      <c r="J56" s="127" t="s">
        <v>5</v>
      </c>
    </row>
    <row r="57" spans="1:10" ht="12.75" customHeight="1" x14ac:dyDescent="0.2">
      <c r="A57" s="28" t="s">
        <v>161</v>
      </c>
      <c r="B57" s="368" t="s">
        <v>163</v>
      </c>
      <c r="C57" s="369"/>
      <c r="D57" s="369"/>
      <c r="E57" s="369"/>
      <c r="F57" s="369"/>
      <c r="G57" s="369"/>
      <c r="H57" s="369"/>
      <c r="I57" s="369"/>
      <c r="J57" s="326" t="s">
        <v>229</v>
      </c>
    </row>
    <row r="58" spans="1:10" x14ac:dyDescent="0.2">
      <c r="A58" s="29" t="s">
        <v>162</v>
      </c>
      <c r="B58" s="265" t="s">
        <v>62</v>
      </c>
      <c r="C58" s="265"/>
      <c r="D58" s="265"/>
      <c r="E58" s="265"/>
      <c r="F58" s="265"/>
      <c r="G58" s="265"/>
      <c r="H58" s="265"/>
      <c r="I58" s="265"/>
      <c r="J58" s="365"/>
    </row>
    <row r="59" spans="1:10" ht="25.5" x14ac:dyDescent="0.2">
      <c r="A59" s="110" t="s">
        <v>63</v>
      </c>
      <c r="B59" s="151" t="s">
        <v>64</v>
      </c>
      <c r="C59" s="119" t="s">
        <v>53</v>
      </c>
      <c r="D59" s="119" t="s">
        <v>65</v>
      </c>
      <c r="E59" s="125">
        <f>45*K76</f>
        <v>47.88</v>
      </c>
      <c r="F59" s="122">
        <f>39.04*$K$76</f>
        <v>41.538560000000004</v>
      </c>
      <c r="G59" s="122">
        <f>34.34*K76</f>
        <v>36.537760000000006</v>
      </c>
      <c r="H59" s="122"/>
      <c r="I59" s="122"/>
      <c r="J59" s="119" t="s">
        <v>66</v>
      </c>
    </row>
    <row r="60" spans="1:10" x14ac:dyDescent="0.2">
      <c r="A60" s="298" t="s">
        <v>67</v>
      </c>
      <c r="B60" s="332" t="s">
        <v>68</v>
      </c>
      <c r="C60" s="269" t="s">
        <v>53</v>
      </c>
      <c r="D60" s="119" t="s">
        <v>65</v>
      </c>
      <c r="E60" s="125">
        <f>60*K76</f>
        <v>63.84</v>
      </c>
      <c r="F60" s="178">
        <f>55.92*$K$76</f>
        <v>59.498880000000007</v>
      </c>
      <c r="G60" s="178">
        <f>55.39*K76</f>
        <v>58.934960000000004</v>
      </c>
      <c r="H60" s="122"/>
      <c r="I60" s="122"/>
      <c r="J60" s="119" t="s">
        <v>70</v>
      </c>
    </row>
    <row r="61" spans="1:10" x14ac:dyDescent="0.2">
      <c r="A61" s="302"/>
      <c r="B61" s="333"/>
      <c r="C61" s="269"/>
      <c r="D61" s="118" t="s">
        <v>69</v>
      </c>
      <c r="E61" s="324">
        <f>25*K76</f>
        <v>26.6</v>
      </c>
      <c r="F61" s="324"/>
      <c r="G61" s="276"/>
      <c r="H61" s="275"/>
      <c r="I61" s="275"/>
      <c r="J61" s="262" t="s">
        <v>234</v>
      </c>
    </row>
    <row r="62" spans="1:10" ht="29.25" customHeight="1" x14ac:dyDescent="0.2">
      <c r="A62" s="302"/>
      <c r="B62" s="333"/>
      <c r="C62" s="269"/>
      <c r="D62" s="118" t="s">
        <v>71</v>
      </c>
      <c r="E62" s="324"/>
      <c r="F62" s="324"/>
      <c r="G62" s="276"/>
      <c r="H62" s="275"/>
      <c r="I62" s="275"/>
      <c r="J62" s="288"/>
    </row>
    <row r="63" spans="1:10" x14ac:dyDescent="0.2">
      <c r="A63" s="299"/>
      <c r="B63" s="334"/>
      <c r="C63" s="119" t="s">
        <v>55</v>
      </c>
      <c r="D63" s="118" t="s">
        <v>79</v>
      </c>
      <c r="E63" s="121">
        <f>25*K76</f>
        <v>26.6</v>
      </c>
      <c r="F63" s="121">
        <f>31.65*K76</f>
        <v>33.675600000000003</v>
      </c>
      <c r="G63" s="122"/>
      <c r="H63" s="123"/>
      <c r="I63" s="123"/>
      <c r="J63" s="263"/>
    </row>
    <row r="64" spans="1:10" ht="51" x14ac:dyDescent="0.2">
      <c r="A64" s="270" t="s">
        <v>72</v>
      </c>
      <c r="B64" s="151" t="s">
        <v>73</v>
      </c>
      <c r="C64" s="119" t="s">
        <v>53</v>
      </c>
      <c r="D64" s="118" t="s">
        <v>65</v>
      </c>
      <c r="E64" s="181">
        <f>60*K76</f>
        <v>63.84</v>
      </c>
      <c r="F64" s="21">
        <f>59.08*K76</f>
        <v>62.86112</v>
      </c>
      <c r="G64" s="122">
        <f>60.93*K76</f>
        <v>64.829520000000002</v>
      </c>
      <c r="H64" s="122"/>
      <c r="I64" s="122"/>
      <c r="J64" s="119" t="s">
        <v>70</v>
      </c>
    </row>
    <row r="65" spans="1:11" hidden="1" x14ac:dyDescent="0.2">
      <c r="A65" s="270"/>
      <c r="B65" s="363" t="s">
        <v>74</v>
      </c>
      <c r="C65" s="269" t="s">
        <v>53</v>
      </c>
      <c r="D65" s="118" t="s">
        <v>69</v>
      </c>
      <c r="E65" s="324"/>
      <c r="F65" s="324">
        <f>57.75*1.055</f>
        <v>60.926249999999996</v>
      </c>
      <c r="G65" s="276"/>
      <c r="H65" s="275"/>
      <c r="I65" s="275"/>
      <c r="J65" s="269" t="s">
        <v>70</v>
      </c>
    </row>
    <row r="66" spans="1:11" ht="25.5" hidden="1" x14ac:dyDescent="0.2">
      <c r="A66" s="270"/>
      <c r="B66" s="363"/>
      <c r="C66" s="269"/>
      <c r="D66" s="118" t="s">
        <v>71</v>
      </c>
      <c r="E66" s="324"/>
      <c r="F66" s="324"/>
      <c r="G66" s="276"/>
      <c r="H66" s="275"/>
      <c r="I66" s="275"/>
      <c r="J66" s="269"/>
    </row>
    <row r="67" spans="1:11" x14ac:dyDescent="0.2">
      <c r="A67" s="285" t="s">
        <v>75</v>
      </c>
      <c r="B67" s="269" t="s">
        <v>76</v>
      </c>
      <c r="C67" s="119" t="s">
        <v>53</v>
      </c>
      <c r="D67" s="118" t="s">
        <v>65</v>
      </c>
      <c r="E67" s="121">
        <f>62*K76</f>
        <v>65.968000000000004</v>
      </c>
      <c r="F67" s="21">
        <f>58.03*K76</f>
        <v>61.743920000000003</v>
      </c>
      <c r="G67" s="21">
        <f>55.39*K76</f>
        <v>58.934960000000004</v>
      </c>
      <c r="H67" s="21"/>
      <c r="I67" s="21"/>
      <c r="J67" s="273" t="s">
        <v>77</v>
      </c>
    </row>
    <row r="68" spans="1:11" x14ac:dyDescent="0.2">
      <c r="A68" s="286"/>
      <c r="B68" s="269"/>
      <c r="C68" s="262" t="s">
        <v>78</v>
      </c>
      <c r="D68" s="118" t="s">
        <v>79</v>
      </c>
      <c r="E68" s="121">
        <f>32*K76</f>
        <v>34.048000000000002</v>
      </c>
      <c r="F68" s="21">
        <f>31.65*K76</f>
        <v>33.675600000000003</v>
      </c>
      <c r="G68" s="21">
        <f>29.91*K76</f>
        <v>31.824240000000003</v>
      </c>
      <c r="H68" s="21"/>
      <c r="I68" s="21"/>
      <c r="J68" s="273"/>
    </row>
    <row r="69" spans="1:11" ht="42" customHeight="1" x14ac:dyDescent="0.2">
      <c r="A69" s="286"/>
      <c r="B69" s="269"/>
      <c r="C69" s="288"/>
      <c r="D69" s="115" t="s">
        <v>80</v>
      </c>
      <c r="E69" s="121"/>
      <c r="F69" s="21">
        <f>31.65*K76</f>
        <v>33.675600000000003</v>
      </c>
      <c r="G69" s="21">
        <f>33.23*K76</f>
        <v>35.356719999999996</v>
      </c>
      <c r="H69" s="21"/>
      <c r="I69" s="149"/>
      <c r="J69" s="273"/>
    </row>
    <row r="70" spans="1:11" ht="41.25" customHeight="1" x14ac:dyDescent="0.2">
      <c r="A70" s="286"/>
      <c r="B70" s="269"/>
      <c r="C70" s="263"/>
      <c r="D70" s="115" t="s">
        <v>187</v>
      </c>
      <c r="E70" s="124">
        <f>32*K76</f>
        <v>34.048000000000002</v>
      </c>
      <c r="F70" s="21">
        <f>31.65*K76</f>
        <v>33.675600000000003</v>
      </c>
      <c r="G70" s="21"/>
      <c r="H70" s="21"/>
      <c r="I70" s="149"/>
      <c r="J70" s="273"/>
    </row>
    <row r="71" spans="1:11" x14ac:dyDescent="0.2">
      <c r="A71" s="286"/>
      <c r="B71" s="269"/>
      <c r="C71" s="279" t="s">
        <v>78</v>
      </c>
      <c r="D71" s="115" t="s">
        <v>69</v>
      </c>
      <c r="E71" s="291">
        <f>25*K76</f>
        <v>26.6</v>
      </c>
      <c r="F71" s="370"/>
      <c r="G71" s="370"/>
      <c r="H71" s="370"/>
      <c r="I71" s="383"/>
      <c r="J71" s="273"/>
    </row>
    <row r="72" spans="1:11" x14ac:dyDescent="0.2">
      <c r="A72" s="286"/>
      <c r="B72" s="269"/>
      <c r="C72" s="279"/>
      <c r="D72" s="43" t="s">
        <v>81</v>
      </c>
      <c r="E72" s="291"/>
      <c r="F72" s="370"/>
      <c r="G72" s="370"/>
      <c r="H72" s="370"/>
      <c r="I72" s="383"/>
      <c r="J72" s="273"/>
    </row>
    <row r="73" spans="1:11" x14ac:dyDescent="0.2">
      <c r="A73" s="286"/>
      <c r="B73" s="269"/>
      <c r="C73" s="279"/>
      <c r="D73" s="115" t="s">
        <v>82</v>
      </c>
      <c r="E73" s="291"/>
      <c r="F73" s="370"/>
      <c r="G73" s="370">
        <v>13.47</v>
      </c>
      <c r="H73" s="370"/>
      <c r="I73" s="383"/>
      <c r="J73" s="273"/>
    </row>
    <row r="74" spans="1:11" ht="38.25" x14ac:dyDescent="0.2">
      <c r="A74" s="287"/>
      <c r="B74" s="269"/>
      <c r="C74" s="279"/>
      <c r="D74" s="38" t="s">
        <v>83</v>
      </c>
      <c r="E74" s="291"/>
      <c r="F74" s="370"/>
      <c r="G74" s="370"/>
      <c r="H74" s="370"/>
      <c r="I74" s="383"/>
      <c r="J74" s="273"/>
    </row>
    <row r="75" spans="1:11" hidden="1" x14ac:dyDescent="0.2">
      <c r="A75" s="357" t="s">
        <v>75</v>
      </c>
      <c r="B75" s="269" t="s">
        <v>76</v>
      </c>
      <c r="C75" s="269" t="s">
        <v>84</v>
      </c>
      <c r="D75" s="365" t="s">
        <v>85</v>
      </c>
      <c r="E75" s="324"/>
      <c r="F75" s="370"/>
      <c r="G75" s="370">
        <f>26.46*1.055</f>
        <v>27.915299999999998</v>
      </c>
      <c r="H75" s="370"/>
      <c r="I75" s="383"/>
      <c r="J75" s="326" t="s">
        <v>77</v>
      </c>
    </row>
    <row r="76" spans="1:11" hidden="1" x14ac:dyDescent="0.2">
      <c r="A76" s="357"/>
      <c r="B76" s="269"/>
      <c r="C76" s="269"/>
      <c r="D76" s="273"/>
      <c r="E76" s="324"/>
      <c r="F76" s="370"/>
      <c r="G76" s="370"/>
      <c r="H76" s="370"/>
      <c r="I76" s="383"/>
      <c r="J76" s="365"/>
      <c r="K76" s="3">
        <v>1.0640000000000001</v>
      </c>
    </row>
    <row r="77" spans="1:11" x14ac:dyDescent="0.2">
      <c r="A77" s="357"/>
      <c r="B77" s="269"/>
      <c r="C77" s="119" t="s">
        <v>55</v>
      </c>
      <c r="D77" s="118" t="s">
        <v>79</v>
      </c>
      <c r="E77" s="121">
        <f>25*K82</f>
        <v>26.6</v>
      </c>
      <c r="F77" s="21">
        <f>31.65*K82</f>
        <v>33.675600000000003</v>
      </c>
      <c r="G77" s="21">
        <f>28.8*K82</f>
        <v>30.643200000000004</v>
      </c>
      <c r="H77" s="21"/>
      <c r="I77" s="21"/>
      <c r="J77" s="326" t="s">
        <v>86</v>
      </c>
    </row>
    <row r="78" spans="1:11" ht="38.25" x14ac:dyDescent="0.2">
      <c r="A78" s="357"/>
      <c r="B78" s="269"/>
      <c r="C78" s="119" t="s">
        <v>225</v>
      </c>
      <c r="D78" s="118" t="s">
        <v>226</v>
      </c>
      <c r="E78" s="121">
        <f>32*K82</f>
        <v>34.048000000000002</v>
      </c>
      <c r="F78" s="21">
        <f>37.98*K82</f>
        <v>40.410719999999998</v>
      </c>
      <c r="G78" s="21"/>
      <c r="H78" s="21"/>
      <c r="I78" s="21"/>
      <c r="J78" s="365"/>
    </row>
    <row r="79" spans="1:11" x14ac:dyDescent="0.2">
      <c r="A79" s="110" t="s">
        <v>87</v>
      </c>
      <c r="B79" s="151" t="s">
        <v>88</v>
      </c>
      <c r="C79" s="119" t="s">
        <v>53</v>
      </c>
      <c r="D79" s="119" t="s">
        <v>65</v>
      </c>
      <c r="E79" s="125">
        <f>67*K82</f>
        <v>71.288000000000011</v>
      </c>
      <c r="F79" s="122">
        <f>66.47*K82</f>
        <v>70.724080000000001</v>
      </c>
      <c r="G79" s="122">
        <f>55.39*K82</f>
        <v>58.934960000000004</v>
      </c>
      <c r="H79" s="122"/>
      <c r="I79" s="122"/>
      <c r="J79" s="119" t="s">
        <v>77</v>
      </c>
    </row>
    <row r="80" spans="1:11" ht="25.5" x14ac:dyDescent="0.2">
      <c r="A80" s="110" t="s">
        <v>89</v>
      </c>
      <c r="B80" s="151" t="s">
        <v>90</v>
      </c>
      <c r="C80" s="119" t="s">
        <v>53</v>
      </c>
      <c r="D80" s="119" t="s">
        <v>65</v>
      </c>
      <c r="E80" s="125">
        <f>69*K82</f>
        <v>73.415999999999997</v>
      </c>
      <c r="F80" s="122">
        <f>66.47*K82</f>
        <v>70.724080000000001</v>
      </c>
      <c r="G80" s="20">
        <f>60.93*K82</f>
        <v>64.829520000000002</v>
      </c>
      <c r="H80" s="122"/>
      <c r="I80" s="122"/>
      <c r="J80" s="118" t="s">
        <v>91</v>
      </c>
    </row>
    <row r="81" spans="1:11" x14ac:dyDescent="0.2">
      <c r="A81" s="110" t="s">
        <v>92</v>
      </c>
      <c r="B81" s="151" t="s">
        <v>93</v>
      </c>
      <c r="C81" s="119" t="s">
        <v>53</v>
      </c>
      <c r="D81" s="119" t="s">
        <v>65</v>
      </c>
      <c r="E81" s="125">
        <f>63*K82</f>
        <v>67.032000000000011</v>
      </c>
      <c r="F81" s="122">
        <f>47.48*K82</f>
        <v>50.518720000000002</v>
      </c>
      <c r="G81" s="122">
        <f>49.85*K82</f>
        <v>53.040400000000005</v>
      </c>
      <c r="H81" s="122"/>
      <c r="I81" s="122"/>
      <c r="J81" s="118" t="s">
        <v>91</v>
      </c>
    </row>
    <row r="82" spans="1:11" ht="25.5" x14ac:dyDescent="0.2">
      <c r="A82" s="110" t="s">
        <v>94</v>
      </c>
      <c r="B82" s="151" t="s">
        <v>95</v>
      </c>
      <c r="C82" s="119" t="s">
        <v>53</v>
      </c>
      <c r="D82" s="119" t="s">
        <v>65</v>
      </c>
      <c r="E82" s="125">
        <f>66*K82</f>
        <v>70.224000000000004</v>
      </c>
      <c r="F82" s="122">
        <f>44.31*K82</f>
        <v>47.145840000000007</v>
      </c>
      <c r="G82" s="122">
        <f>34.34*K82</f>
        <v>36.537760000000006</v>
      </c>
      <c r="H82" s="122"/>
      <c r="I82" s="122"/>
      <c r="J82" s="118" t="s">
        <v>91</v>
      </c>
      <c r="K82" s="3">
        <v>1.0640000000000001</v>
      </c>
    </row>
    <row r="83" spans="1:11" ht="25.5" x14ac:dyDescent="0.2">
      <c r="A83" s="110" t="s">
        <v>96</v>
      </c>
      <c r="B83" s="151" t="s">
        <v>97</v>
      </c>
      <c r="C83" s="119" t="s">
        <v>53</v>
      </c>
      <c r="D83" s="119" t="s">
        <v>65</v>
      </c>
      <c r="E83" s="125">
        <f>45*K82</f>
        <v>47.88</v>
      </c>
      <c r="F83" s="122">
        <f>44.31*K82</f>
        <v>47.145840000000007</v>
      </c>
      <c r="G83" s="20">
        <f>60.93*K82</f>
        <v>64.829520000000002</v>
      </c>
      <c r="H83" s="122"/>
      <c r="I83" s="122"/>
      <c r="J83" s="118" t="s">
        <v>98</v>
      </c>
    </row>
    <row r="84" spans="1:11" ht="25.5" customHeight="1" x14ac:dyDescent="0.2">
      <c r="A84" s="270" t="s">
        <v>99</v>
      </c>
      <c r="B84" s="363" t="s">
        <v>100</v>
      </c>
      <c r="C84" s="119" t="s">
        <v>53</v>
      </c>
      <c r="D84" s="118" t="s">
        <v>65</v>
      </c>
      <c r="E84" s="121">
        <f>66*K82</f>
        <v>70.224000000000004</v>
      </c>
      <c r="F84" s="122">
        <f>61.19*K82</f>
        <v>65.106160000000003</v>
      </c>
      <c r="G84" s="122">
        <f>60.93*K82</f>
        <v>64.829520000000002</v>
      </c>
      <c r="H84" s="122"/>
      <c r="I84" s="122"/>
      <c r="J84" s="273" t="s">
        <v>101</v>
      </c>
    </row>
    <row r="85" spans="1:11" ht="15" hidden="1" customHeight="1" x14ac:dyDescent="0.2">
      <c r="A85" s="270"/>
      <c r="B85" s="363"/>
      <c r="C85" s="269" t="s">
        <v>53</v>
      </c>
      <c r="D85" s="118" t="s">
        <v>102</v>
      </c>
      <c r="E85" s="324"/>
      <c r="F85" s="276">
        <f t="shared" ref="F85:F86" si="0">57.75*1.055</f>
        <v>60.926249999999996</v>
      </c>
      <c r="G85" s="276"/>
      <c r="H85" s="276"/>
      <c r="I85" s="275"/>
      <c r="J85" s="273"/>
    </row>
    <row r="86" spans="1:11" ht="25.5" hidden="1" x14ac:dyDescent="0.2">
      <c r="A86" s="270"/>
      <c r="B86" s="363"/>
      <c r="C86" s="269"/>
      <c r="D86" s="118" t="s">
        <v>71</v>
      </c>
      <c r="E86" s="324"/>
      <c r="F86" s="276">
        <f t="shared" si="0"/>
        <v>60.926249999999996</v>
      </c>
      <c r="G86" s="276"/>
      <c r="H86" s="276"/>
      <c r="I86" s="275"/>
      <c r="J86" s="273"/>
    </row>
    <row r="87" spans="1:11" ht="14.25" customHeight="1" x14ac:dyDescent="0.2">
      <c r="A87" s="110" t="s">
        <v>103</v>
      </c>
      <c r="B87" s="151" t="s">
        <v>188</v>
      </c>
      <c r="C87" s="119" t="s">
        <v>53</v>
      </c>
      <c r="D87" s="119" t="s">
        <v>65</v>
      </c>
      <c r="E87" s="125">
        <f>66*K82</f>
        <v>70.224000000000004</v>
      </c>
      <c r="F87" s="122">
        <f>66.47*K82</f>
        <v>70.724080000000001</v>
      </c>
      <c r="G87" s="122">
        <f>60.93*K82</f>
        <v>64.829520000000002</v>
      </c>
      <c r="H87" s="122"/>
      <c r="I87" s="122"/>
      <c r="J87" s="118" t="s">
        <v>98</v>
      </c>
    </row>
    <row r="88" spans="1:11" ht="12.75" customHeight="1" x14ac:dyDescent="0.2">
      <c r="A88" s="285" t="s">
        <v>104</v>
      </c>
      <c r="B88" s="262" t="s">
        <v>105</v>
      </c>
      <c r="C88" s="262" t="s">
        <v>235</v>
      </c>
      <c r="D88" s="113" t="s">
        <v>65</v>
      </c>
      <c r="E88" s="125">
        <f>66*K82</f>
        <v>70.224000000000004</v>
      </c>
      <c r="F88" s="122">
        <f>66.47*K82</f>
        <v>70.724080000000001</v>
      </c>
      <c r="G88" s="20">
        <f>60.93*K82</f>
        <v>64.829520000000002</v>
      </c>
      <c r="H88" s="122"/>
      <c r="I88" s="122"/>
      <c r="J88" s="118" t="s">
        <v>106</v>
      </c>
    </row>
    <row r="89" spans="1:11" x14ac:dyDescent="0.2">
      <c r="A89" s="286"/>
      <c r="B89" s="288"/>
      <c r="C89" s="288"/>
      <c r="D89" s="113" t="s">
        <v>69</v>
      </c>
      <c r="E89" s="280">
        <f>69*K82</f>
        <v>73.415999999999997</v>
      </c>
      <c r="F89" s="289">
        <f>66.47*K82</f>
        <v>70.724080000000001</v>
      </c>
      <c r="G89" s="276">
        <f>60.93*K82</f>
        <v>64.829520000000002</v>
      </c>
      <c r="H89" s="276"/>
      <c r="I89" s="275"/>
      <c r="J89" s="273" t="s">
        <v>91</v>
      </c>
    </row>
    <row r="90" spans="1:11" ht="25.5" x14ac:dyDescent="0.2">
      <c r="A90" s="286"/>
      <c r="B90" s="288"/>
      <c r="C90" s="263"/>
      <c r="D90" s="114" t="s">
        <v>190</v>
      </c>
      <c r="E90" s="280"/>
      <c r="F90" s="290"/>
      <c r="G90" s="276"/>
      <c r="H90" s="276"/>
      <c r="I90" s="275"/>
      <c r="J90" s="273"/>
    </row>
    <row r="91" spans="1:11" x14ac:dyDescent="0.2">
      <c r="A91" s="286"/>
      <c r="B91" s="288"/>
      <c r="C91" s="326" t="s">
        <v>55</v>
      </c>
      <c r="D91" s="43" t="s">
        <v>79</v>
      </c>
      <c r="E91" s="122">
        <f>25*K82</f>
        <v>26.6</v>
      </c>
      <c r="F91" s="122">
        <v>33.68</v>
      </c>
      <c r="G91" s="178">
        <f>28.8*$K$82</f>
        <v>30.643200000000004</v>
      </c>
      <c r="H91" s="122">
        <f>28.8*$K$82</f>
        <v>30.643200000000004</v>
      </c>
      <c r="I91" s="122"/>
      <c r="J91" s="326" t="s">
        <v>86</v>
      </c>
    </row>
    <row r="92" spans="1:11" x14ac:dyDescent="0.2">
      <c r="A92" s="286"/>
      <c r="B92" s="288"/>
      <c r="C92" s="364"/>
      <c r="D92" s="182" t="s">
        <v>107</v>
      </c>
      <c r="E92" s="366"/>
      <c r="F92" s="289"/>
      <c r="G92" s="276" t="s">
        <v>238</v>
      </c>
      <c r="H92" s="276">
        <v>40.07</v>
      </c>
      <c r="I92" s="275"/>
      <c r="J92" s="364"/>
    </row>
    <row r="93" spans="1:11" x14ac:dyDescent="0.2">
      <c r="A93" s="286"/>
      <c r="B93" s="288"/>
      <c r="C93" s="364"/>
      <c r="D93" s="184" t="s">
        <v>81</v>
      </c>
      <c r="E93" s="367"/>
      <c r="F93" s="290"/>
      <c r="G93" s="276"/>
      <c r="H93" s="276"/>
      <c r="I93" s="275"/>
      <c r="J93" s="364"/>
    </row>
    <row r="94" spans="1:11" ht="38.25" x14ac:dyDescent="0.2">
      <c r="A94" s="286"/>
      <c r="B94" s="288"/>
      <c r="C94" s="364"/>
      <c r="D94" s="176" t="s">
        <v>236</v>
      </c>
      <c r="E94" s="181">
        <f>25*K82</f>
        <v>26.6</v>
      </c>
      <c r="F94" s="180"/>
      <c r="G94" s="178"/>
      <c r="H94" s="178"/>
      <c r="I94" s="177"/>
      <c r="J94" s="364"/>
    </row>
    <row r="95" spans="1:11" ht="38.25" x14ac:dyDescent="0.2">
      <c r="A95" s="286"/>
      <c r="B95" s="288"/>
      <c r="C95" s="364"/>
      <c r="D95" s="187" t="s">
        <v>237</v>
      </c>
      <c r="E95" s="181">
        <f>25*K82</f>
        <v>26.6</v>
      </c>
      <c r="F95" s="180"/>
      <c r="G95" s="178"/>
      <c r="H95" s="178"/>
      <c r="I95" s="177"/>
      <c r="J95" s="364"/>
    </row>
    <row r="96" spans="1:11" x14ac:dyDescent="0.2">
      <c r="A96" s="286"/>
      <c r="B96" s="288"/>
      <c r="C96" s="364"/>
      <c r="D96" s="115" t="s">
        <v>65</v>
      </c>
      <c r="E96" s="289"/>
      <c r="F96" s="276">
        <f>37.98*K82</f>
        <v>40.410719999999998</v>
      </c>
      <c r="G96" s="276">
        <f>28.8*K82</f>
        <v>30.643200000000004</v>
      </c>
      <c r="H96" s="276"/>
      <c r="I96" s="275"/>
      <c r="J96" s="364"/>
    </row>
    <row r="97" spans="1:10" ht="25.5" x14ac:dyDescent="0.2">
      <c r="A97" s="287"/>
      <c r="B97" s="263"/>
      <c r="C97" s="365"/>
      <c r="D97" s="38" t="s">
        <v>108</v>
      </c>
      <c r="E97" s="290"/>
      <c r="F97" s="276"/>
      <c r="G97" s="276"/>
      <c r="H97" s="276"/>
      <c r="I97" s="275"/>
      <c r="J97" s="365"/>
    </row>
    <row r="98" spans="1:10" ht="38.25" x14ac:dyDescent="0.2">
      <c r="A98" s="110" t="s">
        <v>109</v>
      </c>
      <c r="B98" s="151" t="s">
        <v>110</v>
      </c>
      <c r="C98" s="119" t="s">
        <v>53</v>
      </c>
      <c r="D98" s="114" t="s">
        <v>65</v>
      </c>
      <c r="E98" s="125">
        <f>66*K82</f>
        <v>70.224000000000004</v>
      </c>
      <c r="F98" s="122">
        <f>66.47*K82</f>
        <v>70.724080000000001</v>
      </c>
      <c r="G98" s="122">
        <f>60.93*K82</f>
        <v>64.829520000000002</v>
      </c>
      <c r="H98" s="122"/>
      <c r="I98" s="122"/>
      <c r="J98" s="118" t="s">
        <v>98</v>
      </c>
    </row>
    <row r="99" spans="1:10" x14ac:dyDescent="0.2">
      <c r="A99" s="270" t="s">
        <v>111</v>
      </c>
      <c r="B99" s="363" t="s">
        <v>112</v>
      </c>
      <c r="C99" s="119" t="s">
        <v>53</v>
      </c>
      <c r="D99" s="119" t="s">
        <v>65</v>
      </c>
      <c r="E99" s="125">
        <f>66*K82</f>
        <v>70.224000000000004</v>
      </c>
      <c r="F99" s="178">
        <f>66.47*K82</f>
        <v>70.724080000000001</v>
      </c>
      <c r="G99" s="178">
        <f>60.93*K82</f>
        <v>64.829520000000002</v>
      </c>
      <c r="H99" s="122"/>
      <c r="I99" s="122"/>
      <c r="J99" s="273" t="s">
        <v>113</v>
      </c>
    </row>
    <row r="100" spans="1:10" x14ac:dyDescent="0.2">
      <c r="A100" s="270"/>
      <c r="B100" s="363"/>
      <c r="C100" s="273" t="s">
        <v>53</v>
      </c>
      <c r="D100" s="118" t="s">
        <v>69</v>
      </c>
      <c r="E100" s="324">
        <f>69*K82</f>
        <v>73.415999999999997</v>
      </c>
      <c r="F100" s="276">
        <f>66.47*K82</f>
        <v>70.724080000000001</v>
      </c>
      <c r="G100" s="276"/>
      <c r="H100" s="276"/>
      <c r="I100" s="275"/>
      <c r="J100" s="273"/>
    </row>
    <row r="101" spans="1:10" ht="25.5" x14ac:dyDescent="0.2">
      <c r="A101" s="270"/>
      <c r="B101" s="363"/>
      <c r="C101" s="273"/>
      <c r="D101" s="38" t="s">
        <v>190</v>
      </c>
      <c r="E101" s="324"/>
      <c r="F101" s="276"/>
      <c r="G101" s="276"/>
      <c r="H101" s="276"/>
      <c r="I101" s="275"/>
      <c r="J101" s="273"/>
    </row>
    <row r="102" spans="1:10" x14ac:dyDescent="0.2">
      <c r="A102" s="270"/>
      <c r="B102" s="363"/>
      <c r="C102" s="118" t="s">
        <v>55</v>
      </c>
      <c r="D102" s="115" t="s">
        <v>79</v>
      </c>
      <c r="E102" s="121">
        <f>25*K82</f>
        <v>26.6</v>
      </c>
      <c r="F102" s="122">
        <f>31.65*K82</f>
        <v>33.675600000000003</v>
      </c>
      <c r="G102" s="122">
        <f>28.8*K82</f>
        <v>30.643200000000004</v>
      </c>
      <c r="H102" s="122">
        <f>28.8*K82</f>
        <v>30.643200000000004</v>
      </c>
      <c r="I102" s="122"/>
      <c r="J102" s="273" t="s">
        <v>86</v>
      </c>
    </row>
    <row r="103" spans="1:10" x14ac:dyDescent="0.2">
      <c r="A103" s="270"/>
      <c r="B103" s="363"/>
      <c r="C103" s="362" t="s">
        <v>55</v>
      </c>
      <c r="D103" s="115" t="s">
        <v>107</v>
      </c>
      <c r="E103" s="291"/>
      <c r="F103" s="276"/>
      <c r="G103" s="276">
        <f>37.66*K82</f>
        <v>40.070239999999998</v>
      </c>
      <c r="H103" s="276">
        <f>37.66*K82</f>
        <v>40.070239999999998</v>
      </c>
      <c r="I103" s="276"/>
      <c r="J103" s="273"/>
    </row>
    <row r="104" spans="1:10" x14ac:dyDescent="0.2">
      <c r="A104" s="270"/>
      <c r="B104" s="363"/>
      <c r="C104" s="362"/>
      <c r="D104" s="38" t="s">
        <v>81</v>
      </c>
      <c r="E104" s="291"/>
      <c r="F104" s="276"/>
      <c r="G104" s="276"/>
      <c r="H104" s="276"/>
      <c r="I104" s="276"/>
      <c r="J104" s="273"/>
    </row>
    <row r="105" spans="1:10" ht="25.5" x14ac:dyDescent="0.2">
      <c r="A105" s="110" t="s">
        <v>114</v>
      </c>
      <c r="B105" s="151" t="s">
        <v>115</v>
      </c>
      <c r="C105" s="118" t="s">
        <v>53</v>
      </c>
      <c r="D105" s="38" t="s">
        <v>65</v>
      </c>
      <c r="E105" s="121">
        <f>66*K123</f>
        <v>70.224000000000004</v>
      </c>
      <c r="F105" s="122">
        <f>66.47*K123</f>
        <v>70.724080000000001</v>
      </c>
      <c r="G105" s="122">
        <f>34.34*K123</f>
        <v>36.537760000000006</v>
      </c>
      <c r="H105" s="122"/>
      <c r="I105" s="122"/>
      <c r="J105" s="118" t="s">
        <v>98</v>
      </c>
    </row>
    <row r="106" spans="1:10" ht="38.25" x14ac:dyDescent="0.2">
      <c r="A106" s="110" t="s">
        <v>116</v>
      </c>
      <c r="B106" s="151" t="s">
        <v>117</v>
      </c>
      <c r="C106" s="119" t="s">
        <v>53</v>
      </c>
      <c r="D106" s="119" t="s">
        <v>65</v>
      </c>
      <c r="E106" s="125">
        <f>66*1.064</f>
        <v>70.224000000000004</v>
      </c>
      <c r="F106" s="122">
        <f>66.47*K123</f>
        <v>70.724080000000001</v>
      </c>
      <c r="G106" s="122">
        <f>60.93*K123</f>
        <v>64.829520000000002</v>
      </c>
      <c r="H106" s="122"/>
      <c r="I106" s="122"/>
      <c r="J106" s="118" t="s">
        <v>91</v>
      </c>
    </row>
    <row r="107" spans="1:10" x14ac:dyDescent="0.2">
      <c r="A107" s="270" t="s">
        <v>118</v>
      </c>
      <c r="B107" s="363" t="s">
        <v>119</v>
      </c>
      <c r="C107" s="119" t="s">
        <v>53</v>
      </c>
      <c r="D107" s="113" t="s">
        <v>65</v>
      </c>
      <c r="E107" s="125">
        <f>66*K123</f>
        <v>70.224000000000004</v>
      </c>
      <c r="F107" s="122">
        <f>66.47*K123</f>
        <v>70.724080000000001</v>
      </c>
      <c r="G107" s="122">
        <f>60.93*K123</f>
        <v>64.829520000000002</v>
      </c>
      <c r="H107" s="122"/>
      <c r="I107" s="122"/>
      <c r="J107" s="273" t="s">
        <v>113</v>
      </c>
    </row>
    <row r="108" spans="1:10" x14ac:dyDescent="0.2">
      <c r="A108" s="270"/>
      <c r="B108" s="363"/>
      <c r="C108" s="279" t="s">
        <v>53</v>
      </c>
      <c r="D108" s="113" t="s">
        <v>102</v>
      </c>
      <c r="E108" s="280">
        <f>69*K123</f>
        <v>73.415999999999997</v>
      </c>
      <c r="F108" s="283">
        <f>71.74*K123</f>
        <v>76.331360000000004</v>
      </c>
      <c r="G108" s="276">
        <f>60.93*K123</f>
        <v>64.829520000000002</v>
      </c>
      <c r="H108" s="276"/>
      <c r="I108" s="276"/>
      <c r="J108" s="273"/>
    </row>
    <row r="109" spans="1:10" ht="25.5" x14ac:dyDescent="0.2">
      <c r="A109" s="270"/>
      <c r="B109" s="363"/>
      <c r="C109" s="279"/>
      <c r="D109" s="114" t="s">
        <v>190</v>
      </c>
      <c r="E109" s="280"/>
      <c r="F109" s="284">
        <f t="shared" ref="F109" si="1">57.75*1.055</f>
        <v>60.926249999999996</v>
      </c>
      <c r="G109" s="276"/>
      <c r="H109" s="276"/>
      <c r="I109" s="276"/>
      <c r="J109" s="273"/>
    </row>
    <row r="110" spans="1:10" x14ac:dyDescent="0.2">
      <c r="A110" s="270"/>
      <c r="B110" s="363"/>
      <c r="C110" s="118" t="s">
        <v>55</v>
      </c>
      <c r="D110" s="118" t="s">
        <v>79</v>
      </c>
      <c r="E110" s="122">
        <v>31.92</v>
      </c>
      <c r="F110" s="122">
        <f>31.65*K123</f>
        <v>33.675600000000003</v>
      </c>
      <c r="G110" s="178">
        <f>28.8*K123</f>
        <v>30.643200000000004</v>
      </c>
      <c r="H110" s="122">
        <f>28.8*K123</f>
        <v>30.643200000000004</v>
      </c>
      <c r="I110" s="122"/>
      <c r="J110" s="273" t="s">
        <v>86</v>
      </c>
    </row>
    <row r="111" spans="1:10" x14ac:dyDescent="0.2">
      <c r="A111" s="270"/>
      <c r="B111" s="363"/>
      <c r="C111" s="150" t="s">
        <v>78</v>
      </c>
      <c r="D111" s="118" t="s">
        <v>79</v>
      </c>
      <c r="E111" s="124">
        <f>30*K123</f>
        <v>31.92</v>
      </c>
      <c r="F111" s="122"/>
      <c r="G111" s="122">
        <f>31.02*K123</f>
        <v>33.005279999999999</v>
      </c>
      <c r="H111" s="122"/>
      <c r="I111" s="122"/>
      <c r="J111" s="273"/>
    </row>
    <row r="112" spans="1:10" x14ac:dyDescent="0.2">
      <c r="A112" s="270"/>
      <c r="B112" s="363"/>
      <c r="C112" s="362" t="s">
        <v>55</v>
      </c>
      <c r="D112" s="115" t="s">
        <v>120</v>
      </c>
      <c r="E112" s="291"/>
      <c r="F112" s="276"/>
      <c r="G112" s="276">
        <f>37.66*K123</f>
        <v>40.070239999999998</v>
      </c>
      <c r="H112" s="276">
        <f>37.66*K123</f>
        <v>40.070239999999998</v>
      </c>
      <c r="I112" s="276"/>
      <c r="J112" s="273"/>
    </row>
    <row r="113" spans="1:11" x14ac:dyDescent="0.2">
      <c r="A113" s="270"/>
      <c r="B113" s="363"/>
      <c r="C113" s="362"/>
      <c r="D113" s="38" t="s">
        <v>81</v>
      </c>
      <c r="E113" s="291"/>
      <c r="F113" s="276"/>
      <c r="G113" s="276"/>
      <c r="H113" s="276"/>
      <c r="I113" s="276"/>
      <c r="J113" s="273"/>
    </row>
    <row r="114" spans="1:11" ht="25.5" x14ac:dyDescent="0.2">
      <c r="A114" s="110" t="s">
        <v>121</v>
      </c>
      <c r="B114" s="151" t="s">
        <v>122</v>
      </c>
      <c r="C114" s="119" t="s">
        <v>53</v>
      </c>
      <c r="D114" s="114" t="s">
        <v>65</v>
      </c>
      <c r="E114" s="125">
        <f>69*K123</f>
        <v>73.415999999999997</v>
      </c>
      <c r="F114" s="122">
        <f>66.47*K123</f>
        <v>70.724080000000001</v>
      </c>
      <c r="G114" s="122">
        <f>60.93*K123</f>
        <v>64.829520000000002</v>
      </c>
      <c r="H114" s="122"/>
      <c r="I114" s="122"/>
      <c r="J114" s="118" t="s">
        <v>91</v>
      </c>
    </row>
    <row r="115" spans="1:11" ht="25.5" x14ac:dyDescent="0.2">
      <c r="A115" s="110" t="s">
        <v>223</v>
      </c>
      <c r="B115" s="151" t="s">
        <v>224</v>
      </c>
      <c r="C115" s="119" t="s">
        <v>53</v>
      </c>
      <c r="D115" s="114" t="s">
        <v>65</v>
      </c>
      <c r="E115" s="122">
        <f>66*K123</f>
        <v>70.224000000000004</v>
      </c>
      <c r="F115" s="122">
        <f>61.19*K123</f>
        <v>65.106160000000003</v>
      </c>
      <c r="G115" s="122"/>
      <c r="H115" s="122"/>
      <c r="I115" s="122"/>
      <c r="J115" s="118" t="s">
        <v>113</v>
      </c>
    </row>
    <row r="116" spans="1:11" x14ac:dyDescent="0.2">
      <c r="A116" s="116" t="s">
        <v>164</v>
      </c>
      <c r="B116" s="265" t="s">
        <v>123</v>
      </c>
      <c r="C116" s="265"/>
      <c r="D116" s="265"/>
      <c r="E116" s="265"/>
      <c r="F116" s="265"/>
      <c r="G116" s="265"/>
      <c r="H116" s="265"/>
      <c r="I116" s="265"/>
      <c r="J116" s="265"/>
    </row>
    <row r="117" spans="1:11" ht="25.5" hidden="1" x14ac:dyDescent="0.2">
      <c r="A117" s="110" t="s">
        <v>124</v>
      </c>
      <c r="B117" s="111" t="s">
        <v>125</v>
      </c>
      <c r="C117" s="119" t="s">
        <v>53</v>
      </c>
      <c r="D117" s="119" t="s">
        <v>79</v>
      </c>
      <c r="E117" s="125"/>
      <c r="F117" s="122"/>
      <c r="G117" s="122"/>
      <c r="H117" s="122"/>
      <c r="I117" s="122"/>
      <c r="J117" s="118" t="s">
        <v>70</v>
      </c>
    </row>
    <row r="118" spans="1:11" hidden="1" x14ac:dyDescent="0.2">
      <c r="A118" s="110" t="s">
        <v>126</v>
      </c>
      <c r="B118" s="111" t="s">
        <v>127</v>
      </c>
      <c r="C118" s="119" t="s">
        <v>53</v>
      </c>
      <c r="D118" s="119" t="s">
        <v>79</v>
      </c>
      <c r="E118" s="125"/>
      <c r="F118" s="122"/>
      <c r="G118" s="122"/>
      <c r="H118" s="122"/>
      <c r="I118" s="122"/>
      <c r="J118" s="118" t="s">
        <v>70</v>
      </c>
    </row>
    <row r="119" spans="1:11" hidden="1" x14ac:dyDescent="0.2">
      <c r="A119" s="270" t="s">
        <v>128</v>
      </c>
      <c r="B119" s="272" t="s">
        <v>129</v>
      </c>
      <c r="C119" s="119" t="s">
        <v>53</v>
      </c>
      <c r="D119" s="119" t="s">
        <v>79</v>
      </c>
      <c r="E119" s="125"/>
      <c r="F119" s="122"/>
      <c r="G119" s="122"/>
      <c r="H119" s="122"/>
      <c r="I119" s="122"/>
      <c r="J119" s="273" t="s">
        <v>77</v>
      </c>
    </row>
    <row r="120" spans="1:11" hidden="1" x14ac:dyDescent="0.2">
      <c r="A120" s="270"/>
      <c r="B120" s="272"/>
      <c r="C120" s="269" t="s">
        <v>78</v>
      </c>
      <c r="D120" s="119" t="s">
        <v>130</v>
      </c>
      <c r="E120" s="278"/>
      <c r="F120" s="276"/>
      <c r="G120" s="276"/>
      <c r="H120" s="276"/>
      <c r="I120" s="276"/>
      <c r="J120" s="273"/>
    </row>
    <row r="121" spans="1:11" ht="25.5" hidden="1" x14ac:dyDescent="0.2">
      <c r="A121" s="270"/>
      <c r="B121" s="272"/>
      <c r="C121" s="269"/>
      <c r="D121" s="119" t="s">
        <v>108</v>
      </c>
      <c r="E121" s="278"/>
      <c r="F121" s="276"/>
      <c r="G121" s="276"/>
      <c r="H121" s="276"/>
      <c r="I121" s="276"/>
      <c r="J121" s="273"/>
    </row>
    <row r="122" spans="1:11" hidden="1" x14ac:dyDescent="0.2">
      <c r="A122" s="270"/>
      <c r="B122" s="272"/>
      <c r="C122" s="119" t="s">
        <v>55</v>
      </c>
      <c r="D122" s="119" t="s">
        <v>131</v>
      </c>
      <c r="E122" s="125"/>
      <c r="F122" s="122"/>
      <c r="G122" s="122"/>
      <c r="H122" s="122"/>
      <c r="I122" s="122"/>
      <c r="J122" s="118" t="s">
        <v>86</v>
      </c>
    </row>
    <row r="123" spans="1:11" ht="51" hidden="1" x14ac:dyDescent="0.2">
      <c r="A123" s="110">
        <v>210201</v>
      </c>
      <c r="B123" s="111" t="s">
        <v>132</v>
      </c>
      <c r="C123" s="119" t="s">
        <v>53</v>
      </c>
      <c r="D123" s="119" t="s">
        <v>79</v>
      </c>
      <c r="E123" s="125"/>
      <c r="F123" s="122"/>
      <c r="G123" s="122"/>
      <c r="H123" s="122"/>
      <c r="I123" s="122"/>
      <c r="J123" s="118" t="s">
        <v>98</v>
      </c>
      <c r="K123" s="3">
        <v>1.0640000000000001</v>
      </c>
    </row>
    <row r="124" spans="1:11" hidden="1" x14ac:dyDescent="0.2">
      <c r="A124" s="110" t="s">
        <v>153</v>
      </c>
      <c r="B124" s="111" t="s">
        <v>133</v>
      </c>
      <c r="C124" s="119" t="s">
        <v>53</v>
      </c>
      <c r="D124" s="119" t="s">
        <v>79</v>
      </c>
      <c r="E124" s="125"/>
      <c r="F124" s="122"/>
      <c r="G124" s="122"/>
      <c r="H124" s="122"/>
      <c r="I124" s="122"/>
      <c r="J124" s="118" t="s">
        <v>98</v>
      </c>
    </row>
    <row r="125" spans="1:11" ht="25.5" hidden="1" x14ac:dyDescent="0.2">
      <c r="A125" s="110">
        <v>210312</v>
      </c>
      <c r="B125" s="111" t="s">
        <v>134</v>
      </c>
      <c r="C125" s="119" t="s">
        <v>53</v>
      </c>
      <c r="D125" s="119" t="s">
        <v>79</v>
      </c>
      <c r="E125" s="125"/>
      <c r="F125" s="122"/>
      <c r="G125" s="122"/>
      <c r="H125" s="122"/>
      <c r="I125" s="122"/>
      <c r="J125" s="118" t="s">
        <v>98</v>
      </c>
    </row>
    <row r="126" spans="1:11" ht="25.5" hidden="1" x14ac:dyDescent="0.2">
      <c r="A126" s="110">
        <v>210401</v>
      </c>
      <c r="B126" s="111" t="s">
        <v>135</v>
      </c>
      <c r="C126" s="119" t="s">
        <v>53</v>
      </c>
      <c r="D126" s="119" t="s">
        <v>79</v>
      </c>
      <c r="E126" s="125"/>
      <c r="F126" s="122"/>
      <c r="G126" s="122"/>
      <c r="H126" s="122"/>
      <c r="I126" s="122"/>
      <c r="J126" s="118" t="s">
        <v>91</v>
      </c>
    </row>
    <row r="127" spans="1:11" ht="38.25" hidden="1" x14ac:dyDescent="0.2">
      <c r="A127" s="110" t="s">
        <v>154</v>
      </c>
      <c r="B127" s="111" t="s">
        <v>56</v>
      </c>
      <c r="C127" s="119" t="s">
        <v>53</v>
      </c>
      <c r="D127" s="119" t="s">
        <v>79</v>
      </c>
      <c r="E127" s="125"/>
      <c r="F127" s="122"/>
      <c r="G127" s="122"/>
      <c r="H127" s="122"/>
      <c r="I127" s="122"/>
      <c r="J127" s="118" t="s">
        <v>98</v>
      </c>
    </row>
    <row r="128" spans="1:11" ht="25.5" hidden="1" x14ac:dyDescent="0.2">
      <c r="A128" s="110">
        <v>210403</v>
      </c>
      <c r="B128" s="111" t="s">
        <v>136</v>
      </c>
      <c r="C128" s="119" t="s">
        <v>53</v>
      </c>
      <c r="D128" s="119" t="s">
        <v>79</v>
      </c>
      <c r="E128" s="125"/>
      <c r="F128" s="122"/>
      <c r="G128" s="122"/>
      <c r="H128" s="122"/>
      <c r="I128" s="122"/>
      <c r="J128" s="118" t="s">
        <v>91</v>
      </c>
    </row>
    <row r="129" spans="1:10" hidden="1" x14ac:dyDescent="0.2">
      <c r="A129" s="270" t="s">
        <v>155</v>
      </c>
      <c r="B129" s="272" t="s">
        <v>52</v>
      </c>
      <c r="C129" s="119" t="s">
        <v>53</v>
      </c>
      <c r="D129" s="119" t="s">
        <v>79</v>
      </c>
      <c r="E129" s="125"/>
      <c r="F129" s="122"/>
      <c r="G129" s="122"/>
      <c r="H129" s="122"/>
      <c r="I129" s="122"/>
      <c r="J129" s="118" t="s">
        <v>91</v>
      </c>
    </row>
    <row r="130" spans="1:10" hidden="1" x14ac:dyDescent="0.2">
      <c r="A130" s="270"/>
      <c r="B130" s="272"/>
      <c r="C130" s="119" t="s">
        <v>78</v>
      </c>
      <c r="D130" s="119" t="s">
        <v>131</v>
      </c>
      <c r="E130" s="125"/>
      <c r="F130" s="122"/>
      <c r="G130" s="122"/>
      <c r="H130" s="122"/>
      <c r="I130" s="122"/>
      <c r="J130" s="273" t="s">
        <v>86</v>
      </c>
    </row>
    <row r="131" spans="1:10" hidden="1" x14ac:dyDescent="0.2">
      <c r="A131" s="270"/>
      <c r="B131" s="272"/>
      <c r="C131" s="262" t="s">
        <v>55</v>
      </c>
      <c r="D131" s="119" t="s">
        <v>131</v>
      </c>
      <c r="E131" s="125"/>
      <c r="F131" s="122"/>
      <c r="G131" s="122"/>
      <c r="H131" s="122"/>
      <c r="I131" s="122"/>
      <c r="J131" s="273"/>
    </row>
    <row r="132" spans="1:10" hidden="1" x14ac:dyDescent="0.2">
      <c r="A132" s="270"/>
      <c r="B132" s="272"/>
      <c r="C132" s="288"/>
      <c r="D132" s="119" t="s">
        <v>137</v>
      </c>
      <c r="E132" s="274"/>
      <c r="F132" s="275"/>
      <c r="G132" s="275"/>
      <c r="H132" s="276"/>
      <c r="I132" s="276"/>
      <c r="J132" s="273"/>
    </row>
    <row r="133" spans="1:10" hidden="1" x14ac:dyDescent="0.2">
      <c r="A133" s="270"/>
      <c r="B133" s="272"/>
      <c r="C133" s="263"/>
      <c r="D133" s="119" t="s">
        <v>81</v>
      </c>
      <c r="E133" s="274"/>
      <c r="F133" s="275"/>
      <c r="G133" s="275"/>
      <c r="H133" s="276"/>
      <c r="I133" s="276"/>
      <c r="J133" s="273"/>
    </row>
    <row r="134" spans="1:10" hidden="1" x14ac:dyDescent="0.2">
      <c r="A134" s="270"/>
      <c r="B134" s="272"/>
      <c r="C134" s="269" t="s">
        <v>55</v>
      </c>
      <c r="D134" s="119" t="s">
        <v>138</v>
      </c>
      <c r="E134" s="274"/>
      <c r="F134" s="275"/>
      <c r="G134" s="275"/>
      <c r="H134" s="276"/>
      <c r="I134" s="276"/>
      <c r="J134" s="273"/>
    </row>
    <row r="135" spans="1:10" ht="25.5" hidden="1" x14ac:dyDescent="0.2">
      <c r="A135" s="270"/>
      <c r="B135" s="272"/>
      <c r="C135" s="269"/>
      <c r="D135" s="119" t="s">
        <v>71</v>
      </c>
      <c r="E135" s="274"/>
      <c r="F135" s="275"/>
      <c r="G135" s="275"/>
      <c r="H135" s="276"/>
      <c r="I135" s="276"/>
      <c r="J135" s="273"/>
    </row>
    <row r="136" spans="1:10" ht="18" hidden="1" customHeight="1" x14ac:dyDescent="0.2">
      <c r="A136" s="270" t="s">
        <v>156</v>
      </c>
      <c r="B136" s="272" t="s">
        <v>32</v>
      </c>
      <c r="C136" s="119" t="s">
        <v>53</v>
      </c>
      <c r="D136" s="119" t="s">
        <v>79</v>
      </c>
      <c r="E136" s="125"/>
      <c r="F136" s="122"/>
      <c r="G136" s="122"/>
      <c r="H136" s="122"/>
      <c r="I136" s="122"/>
      <c r="J136" s="118" t="s">
        <v>98</v>
      </c>
    </row>
    <row r="137" spans="1:10" ht="20.25" hidden="1" customHeight="1" x14ac:dyDescent="0.2">
      <c r="A137" s="270"/>
      <c r="B137" s="272"/>
      <c r="C137" s="119" t="s">
        <v>55</v>
      </c>
      <c r="D137" s="119" t="s">
        <v>131</v>
      </c>
      <c r="E137" s="125"/>
      <c r="F137" s="122"/>
      <c r="G137" s="122"/>
      <c r="H137" s="122"/>
      <c r="I137" s="122"/>
      <c r="J137" s="118" t="s">
        <v>86</v>
      </c>
    </row>
    <row r="138" spans="1:10" ht="33.75" hidden="1" customHeight="1" x14ac:dyDescent="0.2">
      <c r="A138" s="270" t="s">
        <v>157</v>
      </c>
      <c r="B138" s="272" t="s">
        <v>34</v>
      </c>
      <c r="C138" s="119" t="s">
        <v>53</v>
      </c>
      <c r="D138" s="119" t="s">
        <v>139</v>
      </c>
      <c r="E138" s="125"/>
      <c r="F138" s="122"/>
      <c r="G138" s="122"/>
      <c r="H138" s="122"/>
      <c r="I138" s="122"/>
      <c r="J138" s="118" t="s">
        <v>91</v>
      </c>
    </row>
    <row r="139" spans="1:10" s="53" customFormat="1" ht="60" hidden="1" customHeight="1" x14ac:dyDescent="0.2">
      <c r="A139" s="270"/>
      <c r="B139" s="272"/>
      <c r="C139" s="119" t="s">
        <v>78</v>
      </c>
      <c r="D139" s="119" t="s">
        <v>131</v>
      </c>
      <c r="E139" s="125"/>
      <c r="F139" s="122"/>
      <c r="G139" s="122"/>
      <c r="H139" s="122"/>
      <c r="I139" s="122"/>
      <c r="J139" s="273" t="s">
        <v>86</v>
      </c>
    </row>
    <row r="140" spans="1:10" hidden="1" x14ac:dyDescent="0.2">
      <c r="A140" s="270"/>
      <c r="B140" s="272"/>
      <c r="C140" s="262" t="s">
        <v>55</v>
      </c>
      <c r="D140" s="113" t="s">
        <v>131</v>
      </c>
      <c r="E140" s="125"/>
      <c r="F140" s="122"/>
      <c r="G140" s="122"/>
      <c r="H140" s="122"/>
      <c r="I140" s="122"/>
      <c r="J140" s="273"/>
    </row>
    <row r="141" spans="1:10" hidden="1" x14ac:dyDescent="0.2">
      <c r="A141" s="270"/>
      <c r="B141" s="272"/>
      <c r="C141" s="288"/>
      <c r="D141" s="113" t="s">
        <v>137</v>
      </c>
      <c r="E141" s="277"/>
      <c r="F141" s="275"/>
      <c r="G141" s="275"/>
      <c r="H141" s="276"/>
      <c r="I141" s="276"/>
      <c r="J141" s="273"/>
    </row>
    <row r="142" spans="1:10" hidden="1" x14ac:dyDescent="0.2">
      <c r="A142" s="270"/>
      <c r="B142" s="272"/>
      <c r="C142" s="263"/>
      <c r="D142" s="114" t="s">
        <v>81</v>
      </c>
      <c r="E142" s="277"/>
      <c r="F142" s="275"/>
      <c r="G142" s="275"/>
      <c r="H142" s="276"/>
      <c r="I142" s="276"/>
      <c r="J142" s="273"/>
    </row>
    <row r="143" spans="1:10" ht="29.25" hidden="1" customHeight="1" x14ac:dyDescent="0.2">
      <c r="A143" s="270"/>
      <c r="B143" s="272"/>
      <c r="C143" s="269" t="s">
        <v>55</v>
      </c>
      <c r="D143" s="114" t="s">
        <v>140</v>
      </c>
      <c r="E143" s="274"/>
      <c r="F143" s="275"/>
      <c r="G143" s="275"/>
      <c r="H143" s="276"/>
      <c r="I143" s="276"/>
      <c r="J143" s="273"/>
    </row>
    <row r="144" spans="1:10" ht="25.5" hidden="1" x14ac:dyDescent="0.2">
      <c r="A144" s="270"/>
      <c r="B144" s="272"/>
      <c r="C144" s="269"/>
      <c r="D144" s="119" t="s">
        <v>71</v>
      </c>
      <c r="E144" s="274"/>
      <c r="F144" s="275"/>
      <c r="G144" s="275"/>
      <c r="H144" s="276"/>
      <c r="I144" s="276"/>
      <c r="J144" s="273"/>
    </row>
    <row r="145" spans="1:10" ht="51" x14ac:dyDescent="0.2">
      <c r="A145" s="48" t="s">
        <v>158</v>
      </c>
      <c r="B145" s="49" t="s">
        <v>141</v>
      </c>
      <c r="C145" s="50" t="s">
        <v>53</v>
      </c>
      <c r="D145" s="50" t="s">
        <v>79</v>
      </c>
      <c r="E145" s="51">
        <f>66*K123</f>
        <v>70.224000000000004</v>
      </c>
      <c r="F145" s="52">
        <f>55.92*K123</f>
        <v>59.498880000000007</v>
      </c>
      <c r="G145" s="52">
        <f>50.96*K123</f>
        <v>54.221440000000001</v>
      </c>
      <c r="H145" s="52">
        <f>50.96*K123</f>
        <v>54.221440000000001</v>
      </c>
      <c r="I145" s="52"/>
      <c r="J145" s="50" t="s">
        <v>66</v>
      </c>
    </row>
    <row r="146" spans="1:10" hidden="1" x14ac:dyDescent="0.2">
      <c r="A146" s="270" t="s">
        <v>159</v>
      </c>
      <c r="B146" s="272" t="s">
        <v>142</v>
      </c>
      <c r="C146" s="119" t="s">
        <v>53</v>
      </c>
      <c r="D146" s="119" t="s">
        <v>79</v>
      </c>
      <c r="E146" s="125"/>
      <c r="F146" s="122"/>
      <c r="G146" s="122"/>
      <c r="H146" s="122"/>
      <c r="I146" s="122"/>
      <c r="J146" s="118" t="s">
        <v>113</v>
      </c>
    </row>
    <row r="147" spans="1:10" hidden="1" x14ac:dyDescent="0.2">
      <c r="A147" s="270"/>
      <c r="B147" s="272"/>
      <c r="C147" s="262" t="s">
        <v>55</v>
      </c>
      <c r="D147" s="113" t="s">
        <v>131</v>
      </c>
      <c r="E147" s="125"/>
      <c r="F147" s="122"/>
      <c r="G147" s="122"/>
      <c r="H147" s="122"/>
      <c r="I147" s="122"/>
      <c r="J147" s="273" t="s">
        <v>86</v>
      </c>
    </row>
    <row r="148" spans="1:10" hidden="1" x14ac:dyDescent="0.2">
      <c r="A148" s="270"/>
      <c r="B148" s="272"/>
      <c r="C148" s="288"/>
      <c r="D148" s="113" t="s">
        <v>137</v>
      </c>
      <c r="E148" s="277"/>
      <c r="F148" s="275"/>
      <c r="G148" s="275"/>
      <c r="H148" s="276"/>
      <c r="I148" s="276"/>
      <c r="J148" s="273"/>
    </row>
    <row r="149" spans="1:10" hidden="1" x14ac:dyDescent="0.2">
      <c r="A149" s="270"/>
      <c r="B149" s="272"/>
      <c r="C149" s="288"/>
      <c r="D149" s="114" t="s">
        <v>81</v>
      </c>
      <c r="E149" s="277"/>
      <c r="F149" s="275"/>
      <c r="G149" s="275"/>
      <c r="H149" s="276"/>
      <c r="I149" s="276"/>
      <c r="J149" s="273"/>
    </row>
    <row r="150" spans="1:10" hidden="1" x14ac:dyDescent="0.2">
      <c r="A150" s="270"/>
      <c r="B150" s="272"/>
      <c r="C150" s="288"/>
      <c r="D150" s="113" t="s">
        <v>138</v>
      </c>
      <c r="E150" s="274"/>
      <c r="F150" s="275"/>
      <c r="G150" s="275"/>
      <c r="H150" s="276"/>
      <c r="I150" s="276"/>
      <c r="J150" s="273"/>
    </row>
    <row r="151" spans="1:10" ht="25.5" hidden="1" x14ac:dyDescent="0.2">
      <c r="A151" s="270"/>
      <c r="B151" s="272"/>
      <c r="C151" s="263"/>
      <c r="D151" s="114" t="s">
        <v>71</v>
      </c>
      <c r="E151" s="274"/>
      <c r="F151" s="275"/>
      <c r="G151" s="275"/>
      <c r="H151" s="276"/>
      <c r="I151" s="276"/>
      <c r="J151" s="273"/>
    </row>
    <row r="152" spans="1:10" ht="51" hidden="1" x14ac:dyDescent="0.2">
      <c r="A152" s="110">
        <v>230102</v>
      </c>
      <c r="B152" s="111" t="s">
        <v>143</v>
      </c>
      <c r="C152" s="119" t="s">
        <v>53</v>
      </c>
      <c r="D152" s="119" t="s">
        <v>79</v>
      </c>
      <c r="E152" s="125"/>
      <c r="F152" s="122"/>
      <c r="G152" s="122"/>
      <c r="H152" s="122"/>
      <c r="I152" s="122"/>
      <c r="J152" s="118" t="s">
        <v>91</v>
      </c>
    </row>
    <row r="153" spans="1:10" ht="76.5" hidden="1" x14ac:dyDescent="0.2">
      <c r="A153" s="110">
        <v>230105</v>
      </c>
      <c r="B153" s="111" t="s">
        <v>144</v>
      </c>
      <c r="C153" s="119" t="s">
        <v>53</v>
      </c>
      <c r="D153" s="119" t="s">
        <v>79</v>
      </c>
      <c r="E153" s="125"/>
      <c r="F153" s="122"/>
      <c r="G153" s="122"/>
      <c r="H153" s="122"/>
      <c r="I153" s="122"/>
      <c r="J153" s="118" t="s">
        <v>91</v>
      </c>
    </row>
    <row r="154" spans="1:10" hidden="1" x14ac:dyDescent="0.2">
      <c r="A154" s="270" t="s">
        <v>160</v>
      </c>
      <c r="B154" s="272" t="s">
        <v>119</v>
      </c>
      <c r="C154" s="119" t="s">
        <v>53</v>
      </c>
      <c r="D154" s="119" t="s">
        <v>79</v>
      </c>
      <c r="E154" s="125"/>
      <c r="F154" s="122"/>
      <c r="G154" s="122"/>
      <c r="H154" s="122"/>
      <c r="I154" s="122"/>
      <c r="J154" s="118" t="s">
        <v>113</v>
      </c>
    </row>
    <row r="155" spans="1:10" hidden="1" x14ac:dyDescent="0.2">
      <c r="A155" s="270"/>
      <c r="B155" s="272"/>
      <c r="C155" s="262" t="s">
        <v>55</v>
      </c>
      <c r="D155" s="119" t="s">
        <v>131</v>
      </c>
      <c r="E155" s="125"/>
      <c r="F155" s="122"/>
      <c r="G155" s="122"/>
      <c r="H155" s="122"/>
      <c r="I155" s="122"/>
      <c r="J155" s="273" t="s">
        <v>86</v>
      </c>
    </row>
    <row r="156" spans="1:10" hidden="1" x14ac:dyDescent="0.2">
      <c r="A156" s="270"/>
      <c r="B156" s="272"/>
      <c r="C156" s="288"/>
      <c r="D156" s="113" t="s">
        <v>145</v>
      </c>
      <c r="E156" s="274"/>
      <c r="F156" s="275"/>
      <c r="G156" s="275"/>
      <c r="H156" s="276"/>
      <c r="I156" s="276"/>
      <c r="J156" s="273"/>
    </row>
    <row r="157" spans="1:10" hidden="1" x14ac:dyDescent="0.2">
      <c r="A157" s="270"/>
      <c r="B157" s="272"/>
      <c r="C157" s="263"/>
      <c r="D157" s="114" t="s">
        <v>81</v>
      </c>
      <c r="E157" s="274"/>
      <c r="F157" s="275"/>
      <c r="G157" s="275"/>
      <c r="H157" s="276"/>
      <c r="I157" s="276"/>
      <c r="J157" s="273"/>
    </row>
    <row r="158" spans="1:10" x14ac:dyDescent="0.2">
      <c r="A158" s="116" t="s">
        <v>165</v>
      </c>
      <c r="B158" s="265" t="s">
        <v>146</v>
      </c>
      <c r="C158" s="265"/>
      <c r="D158" s="265"/>
      <c r="E158" s="265"/>
      <c r="F158" s="265"/>
      <c r="G158" s="265"/>
      <c r="H158" s="265"/>
      <c r="I158" s="265"/>
      <c r="J158" s="265"/>
    </row>
    <row r="159" spans="1:10" ht="25.5" x14ac:dyDescent="0.2">
      <c r="A159" s="188" t="s">
        <v>147</v>
      </c>
      <c r="B159" s="111" t="s">
        <v>148</v>
      </c>
      <c r="C159" s="119" t="s">
        <v>53</v>
      </c>
      <c r="D159" s="119" t="s">
        <v>239</v>
      </c>
      <c r="E159" s="54">
        <f>55*K176</f>
        <v>58.52</v>
      </c>
      <c r="F159" s="125"/>
      <c r="G159" s="122"/>
      <c r="H159" s="122"/>
      <c r="I159" s="122"/>
      <c r="J159" s="112" t="s">
        <v>70</v>
      </c>
    </row>
    <row r="160" spans="1:10" ht="25.5" x14ac:dyDescent="0.2">
      <c r="A160" s="188" t="s">
        <v>192</v>
      </c>
      <c r="B160" s="111" t="s">
        <v>90</v>
      </c>
      <c r="C160" s="119" t="s">
        <v>53</v>
      </c>
      <c r="D160" s="175" t="s">
        <v>239</v>
      </c>
      <c r="E160" s="54">
        <f>69*K176</f>
        <v>73.415999999999997</v>
      </c>
      <c r="F160" s="125"/>
      <c r="G160" s="122"/>
      <c r="H160" s="122"/>
      <c r="I160" s="122"/>
      <c r="J160" s="112" t="s">
        <v>91</v>
      </c>
    </row>
    <row r="161" spans="1:11" ht="25.5" x14ac:dyDescent="0.2">
      <c r="A161" s="188" t="s">
        <v>193</v>
      </c>
      <c r="B161" s="111" t="s">
        <v>68</v>
      </c>
      <c r="C161" s="119" t="s">
        <v>53</v>
      </c>
      <c r="D161" s="175" t="s">
        <v>239</v>
      </c>
      <c r="E161" s="54">
        <f>55*K176</f>
        <v>58.52</v>
      </c>
      <c r="F161" s="125"/>
      <c r="G161" s="122"/>
      <c r="H161" s="122"/>
      <c r="I161" s="122"/>
      <c r="J161" s="112" t="s">
        <v>70</v>
      </c>
    </row>
    <row r="162" spans="1:11" ht="12.75" customHeight="1" x14ac:dyDescent="0.2">
      <c r="A162" s="329" t="s">
        <v>194</v>
      </c>
      <c r="B162" s="332" t="s">
        <v>105</v>
      </c>
      <c r="C162" s="262" t="s">
        <v>53</v>
      </c>
      <c r="D162" s="175" t="s">
        <v>239</v>
      </c>
      <c r="E162" s="54">
        <f>69*K176</f>
        <v>73.415999999999997</v>
      </c>
      <c r="F162" s="125"/>
      <c r="G162" s="122"/>
      <c r="H162" s="122"/>
      <c r="I162" s="122"/>
      <c r="J162" s="112" t="s">
        <v>98</v>
      </c>
    </row>
    <row r="163" spans="1:11" x14ac:dyDescent="0.2">
      <c r="A163" s="330"/>
      <c r="B163" s="333"/>
      <c r="C163" s="288"/>
      <c r="D163" s="175" t="s">
        <v>239</v>
      </c>
      <c r="E163" s="54">
        <v>73.415999999999997</v>
      </c>
      <c r="F163" s="125"/>
      <c r="G163" s="122"/>
      <c r="H163" s="122"/>
      <c r="I163" s="122"/>
      <c r="J163" s="112" t="s">
        <v>101</v>
      </c>
    </row>
    <row r="164" spans="1:11" x14ac:dyDescent="0.2">
      <c r="A164" s="330"/>
      <c r="B164" s="333"/>
      <c r="C164" s="263" t="s">
        <v>53</v>
      </c>
      <c r="D164" s="175" t="s">
        <v>239</v>
      </c>
      <c r="E164" s="54">
        <v>73.415999999999997</v>
      </c>
      <c r="F164" s="125"/>
      <c r="G164" s="122"/>
      <c r="H164" s="122"/>
      <c r="I164" s="122"/>
      <c r="J164" s="112" t="s">
        <v>91</v>
      </c>
    </row>
    <row r="165" spans="1:11" x14ac:dyDescent="0.2">
      <c r="A165" s="331"/>
      <c r="B165" s="334"/>
      <c r="C165" s="174" t="s">
        <v>240</v>
      </c>
      <c r="D165" s="175" t="s">
        <v>241</v>
      </c>
      <c r="E165" s="54">
        <f>32*K176</f>
        <v>34.048000000000002</v>
      </c>
      <c r="F165" s="179"/>
      <c r="G165" s="178"/>
      <c r="H165" s="178"/>
      <c r="I165" s="178"/>
      <c r="J165" s="183" t="s">
        <v>234</v>
      </c>
    </row>
    <row r="166" spans="1:11" ht="38.25" x14ac:dyDescent="0.2">
      <c r="A166" s="188" t="s">
        <v>150</v>
      </c>
      <c r="B166" s="111" t="s">
        <v>110</v>
      </c>
      <c r="C166" s="119" t="s">
        <v>53</v>
      </c>
      <c r="D166" s="175" t="s">
        <v>239</v>
      </c>
      <c r="E166" s="54">
        <f>69*K176</f>
        <v>73.415999999999997</v>
      </c>
      <c r="F166" s="125"/>
      <c r="G166" s="122"/>
      <c r="H166" s="122"/>
      <c r="I166" s="122"/>
      <c r="J166" s="112" t="s">
        <v>98</v>
      </c>
    </row>
    <row r="167" spans="1:11" ht="51" x14ac:dyDescent="0.2">
      <c r="A167" s="188" t="s">
        <v>195</v>
      </c>
      <c r="B167" s="111" t="s">
        <v>151</v>
      </c>
      <c r="C167" s="119" t="s">
        <v>53</v>
      </c>
      <c r="D167" s="175" t="s">
        <v>239</v>
      </c>
      <c r="E167" s="54">
        <f>66*K176</f>
        <v>70.224000000000004</v>
      </c>
      <c r="F167" s="125"/>
      <c r="G167" s="122"/>
      <c r="H167" s="122"/>
      <c r="I167" s="122"/>
      <c r="J167" s="112" t="s">
        <v>113</v>
      </c>
    </row>
    <row r="168" spans="1:11" x14ac:dyDescent="0.2">
      <c r="A168" s="329" t="s">
        <v>196</v>
      </c>
      <c r="B168" s="332" t="s">
        <v>119</v>
      </c>
      <c r="C168" s="119" t="s">
        <v>53</v>
      </c>
      <c r="D168" s="175" t="s">
        <v>239</v>
      </c>
      <c r="E168" s="54">
        <f>69*1.064</f>
        <v>73.415999999999997</v>
      </c>
      <c r="F168" s="125"/>
      <c r="G168" s="122"/>
      <c r="H168" s="122"/>
      <c r="I168" s="122"/>
      <c r="J168" s="112" t="s">
        <v>113</v>
      </c>
    </row>
    <row r="169" spans="1:11" x14ac:dyDescent="0.2">
      <c r="A169" s="331"/>
      <c r="B169" s="334"/>
      <c r="C169" s="174" t="s">
        <v>240</v>
      </c>
      <c r="D169" s="175" t="s">
        <v>241</v>
      </c>
      <c r="E169" s="54">
        <f>32*K176</f>
        <v>34.048000000000002</v>
      </c>
      <c r="F169" s="179"/>
      <c r="G169" s="178"/>
      <c r="H169" s="178"/>
      <c r="I169" s="178"/>
      <c r="J169" s="183" t="s">
        <v>234</v>
      </c>
    </row>
    <row r="170" spans="1:11" ht="25.5" hidden="1" x14ac:dyDescent="0.2">
      <c r="A170" s="188" t="s">
        <v>197</v>
      </c>
      <c r="B170" s="111" t="s">
        <v>115</v>
      </c>
      <c r="C170" s="119" t="s">
        <v>53</v>
      </c>
      <c r="D170" s="175" t="s">
        <v>239</v>
      </c>
      <c r="E170" s="54">
        <f>45*1.055</f>
        <v>47.474999999999994</v>
      </c>
      <c r="F170" s="125"/>
      <c r="G170" s="122"/>
      <c r="H170" s="122"/>
      <c r="I170" s="122"/>
      <c r="J170" s="112" t="s">
        <v>98</v>
      </c>
    </row>
    <row r="171" spans="1:11" x14ac:dyDescent="0.2">
      <c r="A171" s="185" t="s">
        <v>198</v>
      </c>
      <c r="B171" s="109" t="s">
        <v>133</v>
      </c>
      <c r="C171" s="118" t="s">
        <v>53</v>
      </c>
      <c r="D171" s="175" t="s">
        <v>239</v>
      </c>
      <c r="E171" s="54">
        <f>69*K176</f>
        <v>73.415999999999997</v>
      </c>
      <c r="F171" s="125"/>
      <c r="G171" s="122"/>
      <c r="H171" s="122"/>
      <c r="I171" s="122"/>
      <c r="J171" s="112" t="s">
        <v>98</v>
      </c>
    </row>
    <row r="172" spans="1:11" x14ac:dyDescent="0.2">
      <c r="A172" s="355" t="s">
        <v>152</v>
      </c>
      <c r="B172" s="353" t="s">
        <v>88</v>
      </c>
      <c r="C172" s="118" t="s">
        <v>53</v>
      </c>
      <c r="D172" s="175" t="s">
        <v>239</v>
      </c>
      <c r="E172" s="54">
        <f>55*1.064</f>
        <v>58.52</v>
      </c>
      <c r="F172" s="121"/>
      <c r="G172" s="59"/>
      <c r="H172" s="59"/>
      <c r="I172" s="59"/>
      <c r="J172" s="112" t="s">
        <v>77</v>
      </c>
    </row>
    <row r="173" spans="1:11" x14ac:dyDescent="0.2">
      <c r="A173" s="356"/>
      <c r="B173" s="354"/>
      <c r="C173" s="174" t="s">
        <v>240</v>
      </c>
      <c r="D173" s="175" t="s">
        <v>241</v>
      </c>
      <c r="E173" s="54">
        <f>32*K176</f>
        <v>34.048000000000002</v>
      </c>
      <c r="F173" s="181"/>
      <c r="G173" s="59"/>
      <c r="H173" s="59"/>
      <c r="I173" s="59"/>
      <c r="J173" s="183" t="s">
        <v>234</v>
      </c>
    </row>
    <row r="174" spans="1:11" x14ac:dyDescent="0.2">
      <c r="A174" s="116" t="s">
        <v>166</v>
      </c>
      <c r="B174" s="265" t="s">
        <v>167</v>
      </c>
      <c r="C174" s="265"/>
      <c r="D174" s="265"/>
      <c r="E174" s="265"/>
      <c r="F174" s="265"/>
      <c r="G174" s="265"/>
      <c r="H174" s="265"/>
      <c r="I174" s="265"/>
      <c r="J174" s="265"/>
    </row>
    <row r="175" spans="1:11" x14ac:dyDescent="0.2">
      <c r="A175" s="325" t="s">
        <v>172</v>
      </c>
      <c r="B175" s="323" t="s">
        <v>171</v>
      </c>
      <c r="C175" s="119" t="s">
        <v>53</v>
      </c>
      <c r="D175" s="119" t="s">
        <v>169</v>
      </c>
      <c r="E175" s="125"/>
      <c r="F175" s="125"/>
      <c r="G175" s="122"/>
      <c r="H175" s="122"/>
      <c r="I175" s="122"/>
      <c r="J175" s="335" t="s">
        <v>170</v>
      </c>
    </row>
    <row r="176" spans="1:11" x14ac:dyDescent="0.2">
      <c r="A176" s="325"/>
      <c r="B176" s="323"/>
      <c r="C176" s="119" t="s">
        <v>55</v>
      </c>
      <c r="D176" s="119" t="s">
        <v>168</v>
      </c>
      <c r="E176" s="125"/>
      <c r="F176" s="189">
        <f>1.055*42</f>
        <v>44.309999999999995</v>
      </c>
      <c r="G176" s="122">
        <f>F176*$K$176</f>
        <v>47.14584</v>
      </c>
      <c r="H176" s="122"/>
      <c r="I176" s="122"/>
      <c r="J176" s="335"/>
      <c r="K176" s="3">
        <v>1.0640000000000001</v>
      </c>
    </row>
    <row r="177" spans="1:10" x14ac:dyDescent="0.2">
      <c r="A177" s="325" t="s">
        <v>174</v>
      </c>
      <c r="B177" s="323" t="s">
        <v>173</v>
      </c>
      <c r="C177" s="119" t="s">
        <v>53</v>
      </c>
      <c r="D177" s="119" t="s">
        <v>169</v>
      </c>
      <c r="E177" s="125"/>
      <c r="F177" s="125"/>
      <c r="G177" s="178"/>
      <c r="H177" s="122"/>
      <c r="I177" s="122"/>
      <c r="J177" s="335" t="s">
        <v>170</v>
      </c>
    </row>
    <row r="178" spans="1:10" x14ac:dyDescent="0.2">
      <c r="A178" s="325"/>
      <c r="B178" s="323"/>
      <c r="C178" s="119" t="s">
        <v>55</v>
      </c>
      <c r="D178" s="119" t="s">
        <v>168</v>
      </c>
      <c r="E178" s="125"/>
      <c r="F178" s="189">
        <f>1.055*44.1</f>
        <v>46.525500000000001</v>
      </c>
      <c r="G178" s="178">
        <f t="shared" ref="G178:G184" si="2">F178*$K$176</f>
        <v>49.503132000000001</v>
      </c>
      <c r="H178" s="122"/>
      <c r="I178" s="122"/>
      <c r="J178" s="335"/>
    </row>
    <row r="179" spans="1:10" ht="13.5" customHeight="1" x14ac:dyDescent="0.2">
      <c r="A179" s="325" t="s">
        <v>176</v>
      </c>
      <c r="B179" s="323" t="s">
        <v>175</v>
      </c>
      <c r="C179" s="119" t="s">
        <v>53</v>
      </c>
      <c r="D179" s="119" t="s">
        <v>169</v>
      </c>
      <c r="E179" s="125"/>
      <c r="F179" s="125"/>
      <c r="G179" s="178"/>
      <c r="H179" s="122"/>
      <c r="I179" s="122"/>
      <c r="J179" s="335" t="s">
        <v>170</v>
      </c>
    </row>
    <row r="180" spans="1:10" ht="13.5" customHeight="1" x14ac:dyDescent="0.2">
      <c r="A180" s="325"/>
      <c r="B180" s="323"/>
      <c r="C180" s="119" t="s">
        <v>55</v>
      </c>
      <c r="D180" s="119" t="s">
        <v>168</v>
      </c>
      <c r="E180" s="125"/>
      <c r="F180" s="189">
        <f>1.055*27.3</f>
        <v>28.801500000000001</v>
      </c>
      <c r="G180" s="178">
        <f t="shared" si="2"/>
        <v>30.644796000000003</v>
      </c>
      <c r="H180" s="122"/>
      <c r="I180" s="122"/>
      <c r="J180" s="335"/>
    </row>
    <row r="181" spans="1:10" ht="13.5" customHeight="1" x14ac:dyDescent="0.2">
      <c r="A181" s="325" t="s">
        <v>178</v>
      </c>
      <c r="B181" s="323" t="s">
        <v>177</v>
      </c>
      <c r="C181" s="119" t="s">
        <v>53</v>
      </c>
      <c r="D181" s="119" t="s">
        <v>169</v>
      </c>
      <c r="E181" s="125"/>
      <c r="F181" s="125"/>
      <c r="G181" s="178"/>
      <c r="H181" s="122"/>
      <c r="I181" s="122"/>
      <c r="J181" s="335" t="s">
        <v>170</v>
      </c>
    </row>
    <row r="182" spans="1:10" ht="13.5" customHeight="1" x14ac:dyDescent="0.2">
      <c r="A182" s="325"/>
      <c r="B182" s="323"/>
      <c r="C182" s="119" t="s">
        <v>55</v>
      </c>
      <c r="D182" s="119" t="s">
        <v>168</v>
      </c>
      <c r="E182" s="125"/>
      <c r="F182" s="189">
        <f>1.055*27.3</f>
        <v>28.801500000000001</v>
      </c>
      <c r="G182" s="178">
        <f t="shared" si="2"/>
        <v>30.644796000000003</v>
      </c>
      <c r="H182" s="122"/>
      <c r="I182" s="122"/>
      <c r="J182" s="335"/>
    </row>
    <row r="183" spans="1:10" x14ac:dyDescent="0.2">
      <c r="A183" s="325" t="s">
        <v>180</v>
      </c>
      <c r="B183" s="323" t="s">
        <v>179</v>
      </c>
      <c r="C183" s="119" t="s">
        <v>53</v>
      </c>
      <c r="D183" s="119" t="s">
        <v>169</v>
      </c>
      <c r="E183" s="125"/>
      <c r="F183" s="125"/>
      <c r="G183" s="178"/>
      <c r="H183" s="122"/>
      <c r="I183" s="122"/>
      <c r="J183" s="335" t="s">
        <v>170</v>
      </c>
    </row>
    <row r="184" spans="1:10" x14ac:dyDescent="0.2">
      <c r="A184" s="325"/>
      <c r="B184" s="323"/>
      <c r="C184" s="119" t="s">
        <v>55</v>
      </c>
      <c r="D184" s="119" t="s">
        <v>168</v>
      </c>
      <c r="E184" s="125"/>
      <c r="F184" s="189">
        <f>1.055*27.3</f>
        <v>28.801500000000001</v>
      </c>
      <c r="G184" s="178">
        <f t="shared" si="2"/>
        <v>30.644796000000003</v>
      </c>
      <c r="H184" s="122"/>
      <c r="I184" s="59"/>
      <c r="J184" s="335"/>
    </row>
    <row r="185" spans="1:10" x14ac:dyDescent="0.2">
      <c r="A185" s="325" t="s">
        <v>205</v>
      </c>
      <c r="B185" s="323" t="s">
        <v>206</v>
      </c>
      <c r="C185" s="118" t="s">
        <v>53</v>
      </c>
      <c r="D185" s="118" t="s">
        <v>65</v>
      </c>
      <c r="E185" s="121">
        <f>46.4*$K$176</f>
        <v>49.369599999999998</v>
      </c>
      <c r="F185" s="178">
        <f>46.42*K176</f>
        <v>49.390880000000003</v>
      </c>
      <c r="G185" s="59"/>
      <c r="H185" s="59"/>
      <c r="I185" s="59"/>
      <c r="J185" s="335" t="s">
        <v>170</v>
      </c>
    </row>
    <row r="186" spans="1:10" x14ac:dyDescent="0.2">
      <c r="A186" s="325"/>
      <c r="B186" s="323"/>
      <c r="C186" s="118" t="s">
        <v>55</v>
      </c>
      <c r="D186" s="118" t="s">
        <v>79</v>
      </c>
      <c r="E186" s="121">
        <f>36.9*$K$176</f>
        <v>39.261600000000001</v>
      </c>
      <c r="F186" s="178">
        <f>36.93*K176</f>
        <v>39.293520000000001</v>
      </c>
      <c r="G186" s="59"/>
      <c r="H186" s="59"/>
      <c r="I186" s="59"/>
      <c r="J186" s="335"/>
    </row>
    <row r="187" spans="1:10" x14ac:dyDescent="0.2">
      <c r="A187" s="325" t="s">
        <v>207</v>
      </c>
      <c r="B187" s="323" t="s">
        <v>208</v>
      </c>
      <c r="C187" s="118" t="s">
        <v>53</v>
      </c>
      <c r="D187" s="118" t="s">
        <v>65</v>
      </c>
      <c r="E187" s="181">
        <f>46.4*$K$176</f>
        <v>49.369599999999998</v>
      </c>
      <c r="F187" s="178">
        <f>46.42*K176</f>
        <v>49.390880000000003</v>
      </c>
      <c r="G187" s="59"/>
      <c r="H187" s="59"/>
      <c r="I187" s="59"/>
      <c r="J187" s="335" t="s">
        <v>170</v>
      </c>
    </row>
    <row r="188" spans="1:10" x14ac:dyDescent="0.2">
      <c r="A188" s="325"/>
      <c r="B188" s="323"/>
      <c r="C188" s="118" t="s">
        <v>55</v>
      </c>
      <c r="D188" s="118" t="s">
        <v>79</v>
      </c>
      <c r="E188" s="181">
        <f>36.9*$K$176</f>
        <v>39.261600000000001</v>
      </c>
      <c r="F188" s="178">
        <f>36.93*K176</f>
        <v>39.293520000000001</v>
      </c>
      <c r="G188" s="59"/>
      <c r="H188" s="59"/>
      <c r="I188" s="59"/>
      <c r="J188" s="335"/>
    </row>
    <row r="189" spans="1:10" ht="17.25" customHeight="1" x14ac:dyDescent="0.2">
      <c r="A189" s="325" t="s">
        <v>209</v>
      </c>
      <c r="B189" s="323" t="s">
        <v>117</v>
      </c>
      <c r="C189" s="118" t="s">
        <v>53</v>
      </c>
      <c r="D189" s="118" t="s">
        <v>65</v>
      </c>
      <c r="E189" s="181">
        <f>58*$K$176</f>
        <v>61.712000000000003</v>
      </c>
      <c r="F189" s="178">
        <f>58.03*K176</f>
        <v>61.743920000000003</v>
      </c>
      <c r="G189" s="59"/>
      <c r="H189" s="59"/>
      <c r="I189" s="59"/>
      <c r="J189" s="335" t="s">
        <v>170</v>
      </c>
    </row>
    <row r="190" spans="1:10" ht="19.5" customHeight="1" x14ac:dyDescent="0.2">
      <c r="A190" s="325"/>
      <c r="B190" s="323"/>
      <c r="C190" s="118" t="s">
        <v>55</v>
      </c>
      <c r="D190" s="118" t="s">
        <v>79</v>
      </c>
      <c r="E190" s="181">
        <f>46.4*$K$176</f>
        <v>49.369599999999998</v>
      </c>
      <c r="F190" s="178">
        <f>46.42*K176</f>
        <v>49.390880000000003</v>
      </c>
      <c r="G190" s="59"/>
      <c r="H190" s="59"/>
      <c r="I190" s="59"/>
      <c r="J190" s="335"/>
    </row>
    <row r="191" spans="1:10" x14ac:dyDescent="0.2">
      <c r="A191" s="325" t="s">
        <v>210</v>
      </c>
      <c r="B191" s="323" t="s">
        <v>90</v>
      </c>
      <c r="C191" s="118" t="s">
        <v>53</v>
      </c>
      <c r="D191" s="118" t="s">
        <v>65</v>
      </c>
      <c r="E191" s="181">
        <f>58*$K$176</f>
        <v>61.712000000000003</v>
      </c>
      <c r="F191" s="178">
        <f>58.03*K176</f>
        <v>61.743920000000003</v>
      </c>
      <c r="G191" s="59"/>
      <c r="H191" s="59"/>
      <c r="I191" s="59"/>
      <c r="J191" s="335" t="s">
        <v>170</v>
      </c>
    </row>
    <row r="192" spans="1:10" x14ac:dyDescent="0.2">
      <c r="A192" s="325"/>
      <c r="B192" s="323"/>
      <c r="C192" s="118" t="s">
        <v>55</v>
      </c>
      <c r="D192" s="118" t="s">
        <v>79</v>
      </c>
      <c r="E192" s="181">
        <f>46.4*$K$176</f>
        <v>49.369599999999998</v>
      </c>
      <c r="F192" s="178">
        <f>46.42*K176</f>
        <v>49.390880000000003</v>
      </c>
      <c r="G192" s="59"/>
      <c r="H192" s="59"/>
      <c r="I192" s="59"/>
      <c r="J192" s="335"/>
    </row>
    <row r="193" spans="1:10" x14ac:dyDescent="0.2">
      <c r="A193" s="325" t="s">
        <v>211</v>
      </c>
      <c r="B193" s="323" t="s">
        <v>212</v>
      </c>
      <c r="C193" s="118" t="s">
        <v>53</v>
      </c>
      <c r="D193" s="118" t="s">
        <v>65</v>
      </c>
      <c r="E193" s="181">
        <f>58*$K$176</f>
        <v>61.712000000000003</v>
      </c>
      <c r="F193" s="178">
        <f>58.03*K176</f>
        <v>61.743920000000003</v>
      </c>
      <c r="G193" s="59"/>
      <c r="H193" s="59"/>
      <c r="I193" s="59"/>
      <c r="J193" s="335" t="s">
        <v>170</v>
      </c>
    </row>
    <row r="194" spans="1:10" x14ac:dyDescent="0.2">
      <c r="A194" s="325"/>
      <c r="B194" s="323"/>
      <c r="C194" s="118" t="s">
        <v>55</v>
      </c>
      <c r="D194" s="118" t="s">
        <v>79</v>
      </c>
      <c r="E194" s="181">
        <f>46.4*$K$176</f>
        <v>49.369599999999998</v>
      </c>
      <c r="F194" s="178">
        <f>46.42*K176</f>
        <v>49.390880000000003</v>
      </c>
      <c r="G194" s="59"/>
      <c r="H194" s="59"/>
      <c r="I194" s="59"/>
      <c r="J194" s="335"/>
    </row>
    <row r="195" spans="1:10" ht="25.5" hidden="1" customHeight="1" x14ac:dyDescent="0.2">
      <c r="A195" s="325" t="s">
        <v>203</v>
      </c>
      <c r="B195" s="323" t="s">
        <v>204</v>
      </c>
      <c r="C195" s="118" t="s">
        <v>53</v>
      </c>
      <c r="D195" s="118" t="s">
        <v>102</v>
      </c>
      <c r="E195" s="121">
        <f>41*1.055</f>
        <v>43.254999999999995</v>
      </c>
      <c r="F195" s="59"/>
      <c r="G195" s="59"/>
      <c r="H195" s="59"/>
      <c r="I195" s="59"/>
      <c r="J195" s="335" t="s">
        <v>170</v>
      </c>
    </row>
    <row r="196" spans="1:10" hidden="1" x14ac:dyDescent="0.2">
      <c r="A196" s="325"/>
      <c r="B196" s="323"/>
      <c r="C196" s="118" t="s">
        <v>55</v>
      </c>
      <c r="D196" s="118" t="s">
        <v>65</v>
      </c>
      <c r="E196" s="121">
        <f>33*1.055</f>
        <v>34.814999999999998</v>
      </c>
      <c r="F196" s="59"/>
      <c r="G196" s="59"/>
      <c r="H196" s="59"/>
      <c r="I196" s="59"/>
      <c r="J196" s="335"/>
    </row>
    <row r="197" spans="1:10" ht="64.5" hidden="1" customHeight="1" x14ac:dyDescent="0.2">
      <c r="A197" s="325" t="s">
        <v>200</v>
      </c>
      <c r="B197" s="323" t="s">
        <v>199</v>
      </c>
      <c r="C197" s="118" t="s">
        <v>53</v>
      </c>
      <c r="D197" s="118" t="s">
        <v>102</v>
      </c>
      <c r="E197" s="121">
        <f>41*1.055</f>
        <v>43.254999999999995</v>
      </c>
      <c r="F197" s="59"/>
      <c r="G197" s="59"/>
      <c r="H197" s="59"/>
      <c r="I197" s="59"/>
      <c r="J197" s="335" t="s">
        <v>170</v>
      </c>
    </row>
    <row r="198" spans="1:10" ht="30" hidden="1" customHeight="1" x14ac:dyDescent="0.2">
      <c r="A198" s="325"/>
      <c r="B198" s="323"/>
      <c r="C198" s="118" t="s">
        <v>55</v>
      </c>
      <c r="D198" s="118" t="s">
        <v>65</v>
      </c>
      <c r="E198" s="121">
        <f>33*1.055</f>
        <v>34.814999999999998</v>
      </c>
      <c r="F198" s="59"/>
      <c r="G198" s="59"/>
      <c r="H198" s="59"/>
      <c r="I198" s="59"/>
      <c r="J198" s="335"/>
    </row>
    <row r="199" spans="1:10" ht="33.75" hidden="1" customHeight="1" thickBot="1" x14ac:dyDescent="0.2">
      <c r="A199" s="325" t="s">
        <v>202</v>
      </c>
      <c r="B199" s="323" t="s">
        <v>201</v>
      </c>
      <c r="C199" s="118" t="s">
        <v>53</v>
      </c>
      <c r="D199" s="118" t="s">
        <v>102</v>
      </c>
      <c r="E199" s="121">
        <f>41*1.055</f>
        <v>43.254999999999995</v>
      </c>
      <c r="F199" s="59"/>
      <c r="G199" s="59"/>
      <c r="H199" s="59"/>
      <c r="I199" s="59"/>
      <c r="J199" s="335" t="s">
        <v>170</v>
      </c>
    </row>
    <row r="200" spans="1:10" hidden="1" x14ac:dyDescent="0.2">
      <c r="A200" s="325"/>
      <c r="B200" s="323"/>
      <c r="C200" s="60" t="s">
        <v>55</v>
      </c>
      <c r="D200" s="60" t="s">
        <v>65</v>
      </c>
      <c r="E200" s="61">
        <f>33*1.055</f>
        <v>34.814999999999998</v>
      </c>
      <c r="F200" s="62"/>
      <c r="G200" s="62"/>
      <c r="H200" s="62"/>
      <c r="I200" s="62"/>
      <c r="J200" s="335"/>
    </row>
    <row r="201" spans="1:10" ht="15.75" hidden="1" customHeight="1" x14ac:dyDescent="0.2">
      <c r="A201" s="360" t="s">
        <v>51</v>
      </c>
      <c r="B201" s="360"/>
      <c r="C201" s="360"/>
      <c r="D201" s="60"/>
      <c r="E201" s="61"/>
      <c r="F201" s="62"/>
      <c r="G201" s="62"/>
      <c r="H201" s="62"/>
      <c r="I201" s="62"/>
      <c r="J201" s="112"/>
    </row>
    <row r="202" spans="1:10" hidden="1" x14ac:dyDescent="0.2">
      <c r="A202" s="153"/>
      <c r="B202" s="154"/>
      <c r="C202" s="155"/>
      <c r="D202" s="155"/>
      <c r="E202" s="156"/>
      <c r="F202" s="157"/>
      <c r="G202" s="157"/>
      <c r="H202" s="157"/>
      <c r="I202" s="157"/>
      <c r="J202" s="77"/>
    </row>
    <row r="203" spans="1:10" hidden="1" x14ac:dyDescent="0.2">
      <c r="A203" s="359" t="s">
        <v>1</v>
      </c>
      <c r="B203" s="359"/>
      <c r="C203" s="359" t="s">
        <v>2</v>
      </c>
      <c r="D203" s="359" t="s">
        <v>3</v>
      </c>
      <c r="E203" s="359" t="s">
        <v>4</v>
      </c>
      <c r="F203" s="359"/>
      <c r="G203" s="359"/>
      <c r="H203" s="359"/>
      <c r="I203" s="359"/>
      <c r="J203" s="359" t="s">
        <v>5</v>
      </c>
    </row>
    <row r="204" spans="1:10" hidden="1" x14ac:dyDescent="0.2">
      <c r="A204" s="361" t="s">
        <v>6</v>
      </c>
      <c r="B204" s="359" t="s">
        <v>7</v>
      </c>
      <c r="C204" s="359"/>
      <c r="D204" s="359"/>
      <c r="E204" s="359"/>
      <c r="F204" s="359"/>
      <c r="G204" s="359"/>
      <c r="H204" s="359"/>
      <c r="I204" s="359"/>
      <c r="J204" s="359"/>
    </row>
    <row r="205" spans="1:10" hidden="1" x14ac:dyDescent="0.2">
      <c r="A205" s="361"/>
      <c r="B205" s="359"/>
      <c r="C205" s="359"/>
      <c r="D205" s="359"/>
      <c r="E205" s="158" t="s">
        <v>8</v>
      </c>
      <c r="F205" s="159" t="s">
        <v>9</v>
      </c>
      <c r="G205" s="159" t="s">
        <v>10</v>
      </c>
      <c r="H205" s="159" t="s">
        <v>11</v>
      </c>
      <c r="I205" s="160" t="s">
        <v>12</v>
      </c>
      <c r="J205" s="359"/>
    </row>
    <row r="206" spans="1:10" hidden="1" x14ac:dyDescent="0.2">
      <c r="A206" s="25" t="s">
        <v>13</v>
      </c>
      <c r="B206" s="301" t="s">
        <v>14</v>
      </c>
      <c r="C206" s="301"/>
      <c r="D206" s="301"/>
      <c r="E206" s="301"/>
      <c r="F206" s="301"/>
      <c r="G206" s="301"/>
      <c r="H206" s="301"/>
      <c r="I206" s="301"/>
      <c r="J206" s="301"/>
    </row>
    <row r="207" spans="1:10" ht="33.75" hidden="1" customHeight="1" x14ac:dyDescent="0.2">
      <c r="A207" s="270" t="s">
        <v>27</v>
      </c>
      <c r="B207" s="272" t="s">
        <v>52</v>
      </c>
      <c r="C207" s="119" t="s">
        <v>53</v>
      </c>
      <c r="D207" s="119" t="s">
        <v>138</v>
      </c>
      <c r="E207" s="125">
        <f>1.055*13.75</f>
        <v>14.50625</v>
      </c>
      <c r="F207" s="122">
        <f>1.055*13.13</f>
        <v>13.85215</v>
      </c>
      <c r="G207" s="122">
        <f>1.055*11.45</f>
        <v>12.079749999999999</v>
      </c>
      <c r="H207" s="122"/>
      <c r="I207" s="122"/>
      <c r="J207" s="119" t="s">
        <v>54</v>
      </c>
    </row>
    <row r="208" spans="1:10" ht="60" hidden="1" customHeight="1" x14ac:dyDescent="0.2">
      <c r="A208" s="270"/>
      <c r="B208" s="272"/>
      <c r="C208" s="119" t="s">
        <v>53</v>
      </c>
      <c r="D208" s="119" t="s">
        <v>213</v>
      </c>
      <c r="E208" s="125">
        <f>1.055*13.75</f>
        <v>14.50625</v>
      </c>
      <c r="F208" s="122"/>
      <c r="G208" s="122"/>
      <c r="H208" s="122"/>
      <c r="I208" s="122"/>
      <c r="J208" s="119" t="s">
        <v>54</v>
      </c>
    </row>
    <row r="209" spans="1:10" ht="23.25" hidden="1" customHeight="1" x14ac:dyDescent="0.2">
      <c r="A209" s="270"/>
      <c r="B209" s="272"/>
      <c r="C209" s="119" t="s">
        <v>55</v>
      </c>
      <c r="D209" s="119" t="s">
        <v>138</v>
      </c>
      <c r="E209" s="125">
        <f>1.055*11</f>
        <v>11.604999999999999</v>
      </c>
      <c r="F209" s="122">
        <f>1.055*10.5</f>
        <v>11.077499999999999</v>
      </c>
      <c r="G209" s="122"/>
      <c r="H209" s="122"/>
      <c r="I209" s="122"/>
      <c r="J209" s="119" t="s">
        <v>54</v>
      </c>
    </row>
    <row r="210" spans="1:10" hidden="1" x14ac:dyDescent="0.2">
      <c r="A210" s="270" t="s">
        <v>33</v>
      </c>
      <c r="B210" s="272" t="s">
        <v>34</v>
      </c>
      <c r="C210" s="119" t="s">
        <v>53</v>
      </c>
      <c r="D210" s="119" t="s">
        <v>138</v>
      </c>
      <c r="E210" s="125">
        <f>1.055*13.75</f>
        <v>14.50625</v>
      </c>
      <c r="F210" s="161"/>
      <c r="G210" s="122">
        <f>1.055*11.45</f>
        <v>12.079749999999999</v>
      </c>
      <c r="H210" s="122"/>
      <c r="I210" s="122"/>
      <c r="J210" s="119" t="s">
        <v>54</v>
      </c>
    </row>
    <row r="211" spans="1:10" ht="22.5" hidden="1" customHeight="1" x14ac:dyDescent="0.2">
      <c r="A211" s="270"/>
      <c r="B211" s="272"/>
      <c r="C211" s="119" t="s">
        <v>53</v>
      </c>
      <c r="D211" s="119" t="s">
        <v>213</v>
      </c>
      <c r="E211" s="125">
        <f>1.055*13.75</f>
        <v>14.50625</v>
      </c>
      <c r="F211" s="122">
        <f>1.055*13.13</f>
        <v>13.85215</v>
      </c>
      <c r="G211" s="122">
        <f>1.055*11.45</f>
        <v>12.079749999999999</v>
      </c>
      <c r="H211" s="122"/>
      <c r="I211" s="122"/>
      <c r="J211" s="119" t="s">
        <v>54</v>
      </c>
    </row>
    <row r="212" spans="1:10" hidden="1" x14ac:dyDescent="0.2">
      <c r="A212" s="270"/>
      <c r="B212" s="272"/>
      <c r="C212" s="119" t="s">
        <v>55</v>
      </c>
      <c r="D212" s="119" t="s">
        <v>138</v>
      </c>
      <c r="E212" s="125">
        <f>1.055*11</f>
        <v>11.604999999999999</v>
      </c>
      <c r="F212" s="122">
        <f>1.055*10.5</f>
        <v>11.077499999999999</v>
      </c>
      <c r="G212" s="122"/>
      <c r="H212" s="122"/>
      <c r="I212" s="122"/>
      <c r="J212" s="119" t="s">
        <v>54</v>
      </c>
    </row>
    <row r="213" spans="1:10" hidden="1" x14ac:dyDescent="0.2">
      <c r="A213" s="110" t="s">
        <v>39</v>
      </c>
      <c r="B213" s="111" t="s">
        <v>40</v>
      </c>
      <c r="C213" s="119" t="s">
        <v>53</v>
      </c>
      <c r="D213" s="119" t="s">
        <v>214</v>
      </c>
      <c r="E213" s="125">
        <f>1.055*13.75</f>
        <v>14.50625</v>
      </c>
      <c r="F213" s="122">
        <f>1.055*13.13</f>
        <v>13.85215</v>
      </c>
      <c r="G213" s="122">
        <f>1.055*11.45</f>
        <v>12.079749999999999</v>
      </c>
      <c r="H213" s="122"/>
      <c r="I213" s="122"/>
      <c r="J213" s="119" t="s">
        <v>54</v>
      </c>
    </row>
    <row r="214" spans="1:10" ht="38.25" hidden="1" x14ac:dyDescent="0.2">
      <c r="A214" s="110" t="s">
        <v>42</v>
      </c>
      <c r="B214" s="111" t="s">
        <v>43</v>
      </c>
      <c r="C214" s="119" t="s">
        <v>53</v>
      </c>
      <c r="D214" s="119" t="s">
        <v>214</v>
      </c>
      <c r="E214" s="125">
        <f>1.055*13.75</f>
        <v>14.50625</v>
      </c>
      <c r="F214" s="122">
        <f>1.055*13.13</f>
        <v>13.85215</v>
      </c>
      <c r="G214" s="122">
        <f>1.055*11.45</f>
        <v>12.079749999999999</v>
      </c>
      <c r="H214" s="122"/>
      <c r="I214" s="122"/>
      <c r="J214" s="119" t="s">
        <v>54</v>
      </c>
    </row>
    <row r="215" spans="1:10" hidden="1" x14ac:dyDescent="0.2">
      <c r="A215" s="357" t="s">
        <v>24</v>
      </c>
      <c r="B215" s="357" t="s">
        <v>56</v>
      </c>
      <c r="C215" s="119" t="s">
        <v>55</v>
      </c>
      <c r="D215" s="119" t="s">
        <v>138</v>
      </c>
      <c r="E215" s="125">
        <f>1.055*11</f>
        <v>11.604999999999999</v>
      </c>
      <c r="F215" s="122">
        <f>1.055*10.5</f>
        <v>11.077499999999999</v>
      </c>
      <c r="G215" s="122"/>
      <c r="H215" s="122"/>
      <c r="I215" s="122"/>
      <c r="J215" s="119" t="s">
        <v>54</v>
      </c>
    </row>
    <row r="216" spans="1:10" ht="15.75" hidden="1" customHeight="1" x14ac:dyDescent="0.2">
      <c r="A216" s="357"/>
      <c r="B216" s="357"/>
      <c r="C216" s="119" t="s">
        <v>215</v>
      </c>
      <c r="D216" s="119" t="s">
        <v>213</v>
      </c>
      <c r="E216" s="72">
        <f>1.055*13.75</f>
        <v>14.50625</v>
      </c>
      <c r="F216" s="73"/>
      <c r="G216" s="73"/>
      <c r="H216" s="73"/>
      <c r="I216" s="73"/>
      <c r="J216" s="119" t="s">
        <v>54</v>
      </c>
    </row>
    <row r="217" spans="1:10" ht="15.75" hidden="1" customHeight="1" x14ac:dyDescent="0.2">
      <c r="A217" s="357"/>
      <c r="B217" s="357"/>
      <c r="C217" s="119" t="s">
        <v>53</v>
      </c>
      <c r="D217" s="119" t="s">
        <v>138</v>
      </c>
      <c r="E217" s="72">
        <f>1.055*13.75</f>
        <v>14.50625</v>
      </c>
      <c r="F217" s="73">
        <f>1.055*13.13</f>
        <v>13.85215</v>
      </c>
      <c r="G217" s="73"/>
      <c r="H217" s="73"/>
      <c r="I217" s="73"/>
      <c r="J217" s="119"/>
    </row>
    <row r="218" spans="1:10" hidden="1" x14ac:dyDescent="0.2">
      <c r="A218" s="25" t="s">
        <v>16</v>
      </c>
      <c r="B218" s="301" t="s">
        <v>17</v>
      </c>
      <c r="C218" s="301"/>
      <c r="D218" s="301"/>
      <c r="E218" s="301"/>
      <c r="F218" s="301"/>
      <c r="G218" s="301"/>
      <c r="H218" s="301"/>
      <c r="I218" s="301"/>
      <c r="J218" s="301"/>
    </row>
    <row r="219" spans="1:10" ht="38.25" hidden="1" x14ac:dyDescent="0.2">
      <c r="A219" s="110" t="s">
        <v>24</v>
      </c>
      <c r="B219" s="111" t="s">
        <v>56</v>
      </c>
      <c r="C219" s="76" t="s">
        <v>55</v>
      </c>
      <c r="D219" s="76" t="s">
        <v>216</v>
      </c>
      <c r="E219" s="72">
        <f>1.055*11</f>
        <v>11.604999999999999</v>
      </c>
      <c r="F219" s="77"/>
      <c r="G219" s="73">
        <f>1.055*10.5</f>
        <v>11.077499999999999</v>
      </c>
      <c r="H219" s="73"/>
      <c r="I219" s="73"/>
      <c r="J219" s="119" t="s">
        <v>54</v>
      </c>
    </row>
    <row r="220" spans="1:10" hidden="1" x14ac:dyDescent="0.2">
      <c r="A220" s="357" t="s">
        <v>27</v>
      </c>
      <c r="B220" s="272" t="s">
        <v>52</v>
      </c>
      <c r="C220" s="76" t="s">
        <v>53</v>
      </c>
      <c r="D220" s="76" t="s">
        <v>216</v>
      </c>
      <c r="E220" s="72">
        <f>1.055*13.75</f>
        <v>14.50625</v>
      </c>
      <c r="F220" s="77"/>
      <c r="G220" s="73"/>
      <c r="H220" s="73"/>
      <c r="I220" s="73"/>
      <c r="J220" s="119"/>
    </row>
    <row r="221" spans="1:10" ht="38.25" hidden="1" x14ac:dyDescent="0.2">
      <c r="A221" s="357"/>
      <c r="B221" s="272"/>
      <c r="C221" s="119" t="s">
        <v>215</v>
      </c>
      <c r="D221" s="119" t="s">
        <v>218</v>
      </c>
      <c r="E221" s="72">
        <f>1.055*13.75</f>
        <v>14.50625</v>
      </c>
      <c r="F221" s="77"/>
      <c r="G221" s="73"/>
      <c r="H221" s="73"/>
      <c r="I221" s="73"/>
      <c r="J221" s="119"/>
    </row>
    <row r="222" spans="1:10" hidden="1" x14ac:dyDescent="0.2">
      <c r="A222" s="357"/>
      <c r="B222" s="272"/>
      <c r="C222" s="76" t="s">
        <v>55</v>
      </c>
      <c r="D222" s="119" t="s">
        <v>218</v>
      </c>
      <c r="E222" s="72">
        <f>1.055*11</f>
        <v>11.604999999999999</v>
      </c>
      <c r="F222" s="73"/>
      <c r="G222" s="73">
        <f>1.055*10.5</f>
        <v>11.077499999999999</v>
      </c>
      <c r="H222" s="73"/>
      <c r="I222" s="73"/>
      <c r="J222" s="119" t="s">
        <v>54</v>
      </c>
    </row>
    <row r="223" spans="1:10" hidden="1" x14ac:dyDescent="0.2">
      <c r="A223" s="270" t="s">
        <v>33</v>
      </c>
      <c r="B223" s="272" t="s">
        <v>34</v>
      </c>
      <c r="C223" s="76" t="s">
        <v>53</v>
      </c>
      <c r="D223" s="76" t="s">
        <v>216</v>
      </c>
      <c r="E223" s="72">
        <f>1.055*13.75</f>
        <v>14.50625</v>
      </c>
      <c r="F223" s="73"/>
      <c r="G223" s="73"/>
      <c r="H223" s="73"/>
      <c r="I223" s="73"/>
      <c r="J223" s="119" t="s">
        <v>54</v>
      </c>
    </row>
    <row r="224" spans="1:10" ht="33.75" hidden="1" customHeight="1" x14ac:dyDescent="0.2">
      <c r="A224" s="270"/>
      <c r="B224" s="272"/>
      <c r="C224" s="76" t="s">
        <v>55</v>
      </c>
      <c r="D224" s="119" t="s">
        <v>218</v>
      </c>
      <c r="E224" s="72">
        <f>1.055*11</f>
        <v>11.604999999999999</v>
      </c>
      <c r="F224" s="73"/>
      <c r="G224" s="73">
        <f>1.055*10.5</f>
        <v>11.077499999999999</v>
      </c>
      <c r="H224" s="73"/>
      <c r="I224" s="73"/>
      <c r="J224" s="119" t="s">
        <v>54</v>
      </c>
    </row>
    <row r="225" spans="1:10" ht="38.25" hidden="1" x14ac:dyDescent="0.2">
      <c r="A225" s="270"/>
      <c r="B225" s="272"/>
      <c r="C225" s="119" t="s">
        <v>215</v>
      </c>
      <c r="D225" s="119" t="s">
        <v>218</v>
      </c>
      <c r="E225" s="125">
        <f>1.055*13.75</f>
        <v>14.50625</v>
      </c>
      <c r="F225" s="73"/>
      <c r="G225" s="73"/>
      <c r="H225" s="73"/>
      <c r="I225" s="73"/>
      <c r="J225" s="119" t="s">
        <v>54</v>
      </c>
    </row>
    <row r="226" spans="1:10" hidden="1" x14ac:dyDescent="0.2">
      <c r="A226" s="270" t="s">
        <v>35</v>
      </c>
      <c r="B226" s="272" t="s">
        <v>36</v>
      </c>
      <c r="C226" s="76" t="s">
        <v>53</v>
      </c>
      <c r="D226" s="76" t="s">
        <v>20</v>
      </c>
      <c r="E226" s="72"/>
      <c r="F226" s="73"/>
      <c r="G226" s="73"/>
      <c r="H226" s="73"/>
      <c r="I226" s="73"/>
      <c r="J226" s="119" t="s">
        <v>54</v>
      </c>
    </row>
    <row r="227" spans="1:10" hidden="1" x14ac:dyDescent="0.2">
      <c r="A227" s="270"/>
      <c r="B227" s="272"/>
      <c r="C227" s="76" t="s">
        <v>55</v>
      </c>
      <c r="D227" s="76" t="s">
        <v>38</v>
      </c>
      <c r="E227" s="72"/>
      <c r="F227" s="73"/>
      <c r="G227" s="73"/>
      <c r="H227" s="73"/>
      <c r="I227" s="73"/>
      <c r="J227" s="119" t="s">
        <v>54</v>
      </c>
    </row>
    <row r="228" spans="1:10" ht="46.5" hidden="1" customHeight="1" x14ac:dyDescent="0.2">
      <c r="A228" s="270" t="s">
        <v>42</v>
      </c>
      <c r="B228" s="272" t="s">
        <v>43</v>
      </c>
      <c r="C228" s="76" t="s">
        <v>53</v>
      </c>
      <c r="D228" s="76" t="s">
        <v>217</v>
      </c>
      <c r="E228" s="72">
        <f>1.055*13.75</f>
        <v>14.50625</v>
      </c>
      <c r="F228" s="73"/>
      <c r="G228" s="73"/>
      <c r="H228" s="73"/>
      <c r="I228" s="73"/>
      <c r="J228" s="119" t="s">
        <v>54</v>
      </c>
    </row>
    <row r="229" spans="1:10" ht="30" hidden="1" customHeight="1" x14ac:dyDescent="0.2">
      <c r="A229" s="270"/>
      <c r="B229" s="272"/>
      <c r="C229" s="76" t="s">
        <v>55</v>
      </c>
      <c r="D229" s="76" t="s">
        <v>214</v>
      </c>
      <c r="E229" s="72">
        <f>1.055*11</f>
        <v>11.604999999999999</v>
      </c>
      <c r="F229" s="73"/>
      <c r="G229" s="73">
        <f>1.055*10.5</f>
        <v>11.077499999999999</v>
      </c>
      <c r="H229" s="73"/>
      <c r="I229" s="73"/>
      <c r="J229" s="119" t="s">
        <v>54</v>
      </c>
    </row>
    <row r="230" spans="1:10" ht="32.25" hidden="1" customHeight="1" thickBot="1" x14ac:dyDescent="0.2">
      <c r="A230" s="110" t="s">
        <v>39</v>
      </c>
      <c r="B230" s="111" t="s">
        <v>40</v>
      </c>
      <c r="C230" s="76" t="s">
        <v>53</v>
      </c>
      <c r="D230" s="76" t="s">
        <v>217</v>
      </c>
      <c r="E230" s="72">
        <f>1.055*13.75</f>
        <v>14.50625</v>
      </c>
      <c r="F230" s="73"/>
      <c r="G230" s="73">
        <f>1.055*11.45</f>
        <v>12.079749999999999</v>
      </c>
      <c r="H230" s="73"/>
      <c r="I230" s="73"/>
      <c r="J230" s="119" t="s">
        <v>54</v>
      </c>
    </row>
    <row r="231" spans="1:10" hidden="1" x14ac:dyDescent="0.2">
      <c r="A231" s="81"/>
      <c r="B231" s="162"/>
      <c r="C231" s="77"/>
      <c r="D231" s="77"/>
      <c r="E231" s="163"/>
      <c r="F231" s="152"/>
      <c r="G231" s="152"/>
      <c r="H231" s="152"/>
      <c r="I231" s="152"/>
      <c r="J231" s="77"/>
    </row>
    <row r="232" spans="1:10" hidden="1" x14ac:dyDescent="0.2">
      <c r="A232" s="81" t="s">
        <v>60</v>
      </c>
      <c r="B232" s="164"/>
      <c r="C232" s="116"/>
      <c r="D232" s="116"/>
      <c r="E232" s="165"/>
      <c r="F232" s="166"/>
      <c r="G232" s="166"/>
      <c r="H232" s="166"/>
      <c r="I232" s="166"/>
      <c r="J232" s="77"/>
    </row>
    <row r="233" spans="1:10" hidden="1" x14ac:dyDescent="0.2">
      <c r="A233" s="81"/>
      <c r="B233" s="164"/>
      <c r="C233" s="116"/>
      <c r="D233" s="116"/>
      <c r="E233" s="165"/>
      <c r="F233" s="166"/>
      <c r="G233" s="166"/>
      <c r="H233" s="166"/>
      <c r="I233" s="166"/>
      <c r="J233" s="77"/>
    </row>
    <row r="234" spans="1:10" hidden="1" x14ac:dyDescent="0.2">
      <c r="A234" s="267" t="s">
        <v>1</v>
      </c>
      <c r="B234" s="267"/>
      <c r="C234" s="267" t="s">
        <v>2</v>
      </c>
      <c r="D234" s="267" t="s">
        <v>3</v>
      </c>
      <c r="E234" s="267" t="s">
        <v>4</v>
      </c>
      <c r="F234" s="267"/>
      <c r="G234" s="267"/>
      <c r="H234" s="267"/>
      <c r="I234" s="267"/>
      <c r="J234" s="267" t="s">
        <v>5</v>
      </c>
    </row>
    <row r="235" spans="1:10" hidden="1" x14ac:dyDescent="0.2">
      <c r="A235" s="358" t="s">
        <v>6</v>
      </c>
      <c r="B235" s="267" t="s">
        <v>7</v>
      </c>
      <c r="C235" s="267"/>
      <c r="D235" s="267"/>
      <c r="E235" s="267"/>
      <c r="F235" s="267"/>
      <c r="G235" s="267"/>
      <c r="H235" s="267"/>
      <c r="I235" s="267"/>
      <c r="J235" s="267"/>
    </row>
    <row r="236" spans="1:10" hidden="1" x14ac:dyDescent="0.2">
      <c r="A236" s="358"/>
      <c r="B236" s="267"/>
      <c r="C236" s="267"/>
      <c r="D236" s="267"/>
      <c r="E236" s="167" t="s">
        <v>8</v>
      </c>
      <c r="F236" s="160" t="s">
        <v>9</v>
      </c>
      <c r="G236" s="160" t="s">
        <v>10</v>
      </c>
      <c r="H236" s="160" t="s">
        <v>11</v>
      </c>
      <c r="I236" s="160" t="s">
        <v>12</v>
      </c>
      <c r="J236" s="267"/>
    </row>
    <row r="237" spans="1:10" ht="63" hidden="1" customHeight="1" x14ac:dyDescent="0.2">
      <c r="A237" s="25" t="s">
        <v>13</v>
      </c>
      <c r="B237" s="301" t="s">
        <v>14</v>
      </c>
      <c r="C237" s="301"/>
      <c r="D237" s="301"/>
      <c r="E237" s="301"/>
      <c r="F237" s="301"/>
      <c r="G237" s="301"/>
      <c r="H237" s="301"/>
      <c r="I237" s="301"/>
      <c r="J237" s="301"/>
    </row>
    <row r="238" spans="1:10" ht="39" hidden="1" customHeight="1" x14ac:dyDescent="0.2">
      <c r="A238" s="110" t="s">
        <v>61</v>
      </c>
      <c r="B238" s="111" t="s">
        <v>57</v>
      </c>
      <c r="C238" s="119" t="s">
        <v>53</v>
      </c>
      <c r="D238" s="119" t="s">
        <v>214</v>
      </c>
      <c r="E238" s="125">
        <f>1.055*21.2</f>
        <v>22.366</v>
      </c>
      <c r="F238" s="122">
        <f t="shared" ref="F238:F243" si="3">1.055*13.44</f>
        <v>14.179199999999998</v>
      </c>
      <c r="G238" s="122"/>
      <c r="H238" s="79"/>
      <c r="I238" s="79"/>
      <c r="J238" s="119" t="s">
        <v>59</v>
      </c>
    </row>
    <row r="239" spans="1:10" ht="38.25" hidden="1" x14ac:dyDescent="0.2">
      <c r="A239" s="110" t="s">
        <v>24</v>
      </c>
      <c r="B239" s="111" t="s">
        <v>56</v>
      </c>
      <c r="C239" s="119" t="s">
        <v>53</v>
      </c>
      <c r="D239" s="119" t="s">
        <v>213</v>
      </c>
      <c r="E239" s="125"/>
      <c r="F239" s="122">
        <f t="shared" si="3"/>
        <v>14.179199999999998</v>
      </c>
      <c r="G239" s="122"/>
      <c r="H239" s="79"/>
      <c r="I239" s="79"/>
      <c r="J239" s="119" t="s">
        <v>59</v>
      </c>
    </row>
    <row r="240" spans="1:10" ht="38.25" hidden="1" x14ac:dyDescent="0.2">
      <c r="A240" s="110" t="s">
        <v>27</v>
      </c>
      <c r="B240" s="111" t="s">
        <v>52</v>
      </c>
      <c r="C240" s="119" t="s">
        <v>53</v>
      </c>
      <c r="D240" s="119" t="s">
        <v>213</v>
      </c>
      <c r="E240" s="125"/>
      <c r="F240" s="122">
        <f t="shared" si="3"/>
        <v>14.179199999999998</v>
      </c>
      <c r="G240" s="122"/>
      <c r="H240" s="79"/>
      <c r="I240" s="79"/>
      <c r="J240" s="119" t="s">
        <v>59</v>
      </c>
    </row>
    <row r="241" spans="1:10" ht="25.5" hidden="1" customHeight="1" x14ac:dyDescent="0.2">
      <c r="A241" s="110" t="s">
        <v>31</v>
      </c>
      <c r="B241" s="111" t="s">
        <v>32</v>
      </c>
      <c r="C241" s="119" t="s">
        <v>53</v>
      </c>
      <c r="D241" s="119" t="s">
        <v>213</v>
      </c>
      <c r="E241" s="125">
        <f>1.055*19.3</f>
        <v>20.361499999999999</v>
      </c>
      <c r="F241" s="122">
        <f t="shared" si="3"/>
        <v>14.179199999999998</v>
      </c>
      <c r="G241" s="122"/>
      <c r="H241" s="79"/>
      <c r="I241" s="79"/>
      <c r="J241" s="119" t="s">
        <v>59</v>
      </c>
    </row>
    <row r="242" spans="1:10" ht="30.75" hidden="1" customHeight="1" x14ac:dyDescent="0.2">
      <c r="A242" s="110" t="s">
        <v>39</v>
      </c>
      <c r="B242" s="111" t="s">
        <v>40</v>
      </c>
      <c r="C242" s="119" t="s">
        <v>53</v>
      </c>
      <c r="D242" s="119" t="s">
        <v>214</v>
      </c>
      <c r="E242" s="125"/>
      <c r="F242" s="122">
        <f t="shared" si="3"/>
        <v>14.179199999999998</v>
      </c>
      <c r="G242" s="122"/>
      <c r="H242" s="79"/>
      <c r="I242" s="79"/>
      <c r="J242" s="119" t="s">
        <v>59</v>
      </c>
    </row>
    <row r="243" spans="1:10" ht="21.75" hidden="1" customHeight="1" x14ac:dyDescent="0.2">
      <c r="A243" s="110" t="s">
        <v>42</v>
      </c>
      <c r="B243" s="111" t="s">
        <v>43</v>
      </c>
      <c r="C243" s="119" t="s">
        <v>53</v>
      </c>
      <c r="D243" s="119" t="s">
        <v>214</v>
      </c>
      <c r="E243" s="125">
        <f>1.055*18.9</f>
        <v>19.939499999999999</v>
      </c>
      <c r="F243" s="122">
        <f t="shared" si="3"/>
        <v>14.179199999999998</v>
      </c>
      <c r="G243" s="122"/>
      <c r="H243" s="79"/>
      <c r="I243" s="79"/>
      <c r="J243" s="119" t="s">
        <v>59</v>
      </c>
    </row>
    <row r="244" spans="1:10" ht="25.5" hidden="1" customHeight="1" x14ac:dyDescent="0.2">
      <c r="A244" s="110" t="s">
        <v>45</v>
      </c>
      <c r="B244" s="111" t="s">
        <v>58</v>
      </c>
      <c r="C244" s="119" t="s">
        <v>53</v>
      </c>
      <c r="D244" s="119" t="s">
        <v>214</v>
      </c>
      <c r="E244" s="125"/>
      <c r="F244" s="122"/>
      <c r="G244" s="122">
        <f>1.055*16.59</f>
        <v>17.50245</v>
      </c>
      <c r="H244" s="79"/>
      <c r="I244" s="79"/>
      <c r="J244" s="119" t="s">
        <v>59</v>
      </c>
    </row>
    <row r="245" spans="1:10" ht="25.5" hidden="1" x14ac:dyDescent="0.2">
      <c r="A245" s="110" t="s">
        <v>219</v>
      </c>
      <c r="B245" s="111" t="s">
        <v>220</v>
      </c>
      <c r="C245" s="119" t="s">
        <v>53</v>
      </c>
      <c r="D245" s="119" t="s">
        <v>214</v>
      </c>
      <c r="E245" s="125">
        <f>1.055*19.8</f>
        <v>20.888999999999999</v>
      </c>
      <c r="F245" s="122"/>
      <c r="G245" s="122"/>
      <c r="H245" s="79"/>
      <c r="I245" s="79"/>
      <c r="J245" s="119"/>
    </row>
    <row r="246" spans="1:10" ht="45.75" hidden="1" customHeight="1" x14ac:dyDescent="0.2">
      <c r="A246" s="25" t="s">
        <v>16</v>
      </c>
      <c r="B246" s="301" t="s">
        <v>17</v>
      </c>
      <c r="C246" s="301"/>
      <c r="D246" s="301"/>
      <c r="E246" s="301"/>
      <c r="F246" s="301"/>
      <c r="G246" s="301"/>
      <c r="H246" s="301"/>
      <c r="I246" s="301"/>
      <c r="J246" s="301"/>
    </row>
    <row r="247" spans="1:10" hidden="1" x14ac:dyDescent="0.2">
      <c r="A247" s="270" t="s">
        <v>27</v>
      </c>
      <c r="B247" s="272" t="s">
        <v>52</v>
      </c>
      <c r="C247" s="119" t="s">
        <v>53</v>
      </c>
      <c r="D247" s="119" t="s">
        <v>49</v>
      </c>
      <c r="E247" s="125"/>
      <c r="F247" s="122"/>
      <c r="G247" s="122"/>
      <c r="H247" s="79"/>
      <c r="I247" s="79"/>
      <c r="J247" s="119" t="s">
        <v>59</v>
      </c>
    </row>
    <row r="248" spans="1:10" hidden="1" x14ac:dyDescent="0.2">
      <c r="A248" s="270"/>
      <c r="B248" s="272"/>
      <c r="C248" s="119" t="s">
        <v>55</v>
      </c>
      <c r="D248" s="119" t="s">
        <v>213</v>
      </c>
      <c r="E248" s="125">
        <f>1.055*13.6</f>
        <v>14.347999999999999</v>
      </c>
      <c r="F248" s="122">
        <f>1.055*11.34</f>
        <v>11.963699999999999</v>
      </c>
      <c r="G248" s="122">
        <f>1.055*11.34</f>
        <v>11.963699999999999</v>
      </c>
      <c r="H248" s="79"/>
      <c r="I248" s="79"/>
      <c r="J248" s="119" t="s">
        <v>59</v>
      </c>
    </row>
    <row r="249" spans="1:10" ht="30" hidden="1" customHeight="1" x14ac:dyDescent="0.2">
      <c r="A249" s="270" t="s">
        <v>31</v>
      </c>
      <c r="B249" s="272" t="s">
        <v>32</v>
      </c>
      <c r="C249" s="119" t="s">
        <v>53</v>
      </c>
      <c r="D249" s="119" t="s">
        <v>221</v>
      </c>
      <c r="E249" s="125"/>
      <c r="F249" s="122">
        <f>1.055*15.75</f>
        <v>16.616249999999997</v>
      </c>
      <c r="G249" s="122"/>
      <c r="H249" s="79"/>
      <c r="I249" s="79"/>
      <c r="J249" s="119" t="s">
        <v>59</v>
      </c>
    </row>
    <row r="250" spans="1:10" ht="7.5" hidden="1" customHeight="1" x14ac:dyDescent="0.2">
      <c r="A250" s="270"/>
      <c r="B250" s="272"/>
      <c r="C250" s="119" t="s">
        <v>55</v>
      </c>
      <c r="D250" s="119" t="s">
        <v>213</v>
      </c>
      <c r="E250" s="125">
        <f>1.055*13.6</f>
        <v>14.347999999999999</v>
      </c>
      <c r="F250" s="122">
        <f>1.055*11.34</f>
        <v>11.963699999999999</v>
      </c>
      <c r="G250" s="122">
        <f>1.055*11.34</f>
        <v>11.963699999999999</v>
      </c>
      <c r="H250" s="79"/>
      <c r="I250" s="79"/>
      <c r="J250" s="119" t="s">
        <v>59</v>
      </c>
    </row>
    <row r="251" spans="1:10" ht="33" hidden="1" customHeight="1" x14ac:dyDescent="0.2">
      <c r="A251" s="270" t="s">
        <v>33</v>
      </c>
      <c r="B251" s="272" t="s">
        <v>34</v>
      </c>
      <c r="C251" s="119" t="s">
        <v>53</v>
      </c>
      <c r="D251" s="119" t="s">
        <v>49</v>
      </c>
      <c r="E251" s="125"/>
      <c r="F251" s="122"/>
      <c r="G251" s="122"/>
      <c r="H251" s="79"/>
      <c r="I251" s="79"/>
      <c r="J251" s="119" t="s">
        <v>59</v>
      </c>
    </row>
    <row r="252" spans="1:10" ht="29.25" hidden="1" customHeight="1" x14ac:dyDescent="0.2">
      <c r="A252" s="270"/>
      <c r="B252" s="272"/>
      <c r="C252" s="119" t="s">
        <v>55</v>
      </c>
      <c r="D252" s="119" t="s">
        <v>213</v>
      </c>
      <c r="E252" s="125">
        <f>1.055*13.6</f>
        <v>14.347999999999999</v>
      </c>
      <c r="F252" s="122">
        <f>1.055*11.34</f>
        <v>11.963699999999999</v>
      </c>
      <c r="G252" s="122"/>
      <c r="H252" s="79"/>
      <c r="I252" s="79"/>
      <c r="J252" s="119" t="s">
        <v>59</v>
      </c>
    </row>
    <row r="253" spans="1:10" hidden="1" x14ac:dyDescent="0.2">
      <c r="A253" s="270" t="s">
        <v>35</v>
      </c>
      <c r="B253" s="272" t="s">
        <v>36</v>
      </c>
      <c r="C253" s="119" t="s">
        <v>53</v>
      </c>
      <c r="D253" s="119"/>
      <c r="E253" s="125"/>
      <c r="F253" s="122"/>
      <c r="G253" s="122"/>
      <c r="H253" s="79"/>
      <c r="I253" s="79"/>
      <c r="J253" s="269" t="s">
        <v>59</v>
      </c>
    </row>
    <row r="254" spans="1:10" hidden="1" x14ac:dyDescent="0.2">
      <c r="A254" s="270"/>
      <c r="B254" s="272"/>
      <c r="C254" s="119" t="s">
        <v>55</v>
      </c>
      <c r="D254" s="119" t="s">
        <v>217</v>
      </c>
      <c r="E254" s="125">
        <f>1.055*12.9</f>
        <v>13.609499999999999</v>
      </c>
      <c r="F254" s="122">
        <f>1.055*10.29</f>
        <v>10.855949999999998</v>
      </c>
      <c r="G254" s="122"/>
      <c r="H254" s="79"/>
      <c r="I254" s="79"/>
      <c r="J254" s="269"/>
    </row>
    <row r="255" spans="1:10" x14ac:dyDescent="0.2">
      <c r="A255" s="270" t="s">
        <v>203</v>
      </c>
      <c r="B255" s="272" t="s">
        <v>204</v>
      </c>
      <c r="C255" s="118" t="s">
        <v>53</v>
      </c>
      <c r="D255" s="118" t="s">
        <v>65</v>
      </c>
      <c r="E255" s="125">
        <f>43.3*$K$176</f>
        <v>46.071199999999997</v>
      </c>
      <c r="F255" s="178">
        <f>43.26*K176</f>
        <v>46.028640000000003</v>
      </c>
      <c r="G255" s="122"/>
      <c r="H255" s="79"/>
      <c r="I255" s="79"/>
      <c r="J255" s="335" t="s">
        <v>170</v>
      </c>
    </row>
    <row r="256" spans="1:10" x14ac:dyDescent="0.2">
      <c r="A256" s="270"/>
      <c r="B256" s="272"/>
      <c r="C256" s="118" t="s">
        <v>55</v>
      </c>
      <c r="D256" s="118" t="s">
        <v>79</v>
      </c>
      <c r="E256" s="125">
        <f>34.8*$K$176</f>
        <v>37.027200000000001</v>
      </c>
      <c r="F256" s="178">
        <f>34.82*K176</f>
        <v>37.048480000000005</v>
      </c>
      <c r="G256" s="122"/>
      <c r="H256" s="79"/>
      <c r="I256" s="79"/>
      <c r="J256" s="335"/>
    </row>
    <row r="257" spans="1:10" x14ac:dyDescent="0.2">
      <c r="A257" s="270" t="s">
        <v>200</v>
      </c>
      <c r="B257" s="272" t="s">
        <v>199</v>
      </c>
      <c r="C257" s="118" t="s">
        <v>53</v>
      </c>
      <c r="D257" s="118" t="s">
        <v>65</v>
      </c>
      <c r="E257" s="179">
        <f>43.3*$K$176</f>
        <v>46.071199999999997</v>
      </c>
      <c r="F257" s="178">
        <f>43.26*K176</f>
        <v>46.028640000000003</v>
      </c>
      <c r="G257" s="80"/>
      <c r="H257" s="80"/>
      <c r="I257" s="80"/>
      <c r="J257" s="335" t="s">
        <v>170</v>
      </c>
    </row>
    <row r="258" spans="1:10" x14ac:dyDescent="0.2">
      <c r="A258" s="270"/>
      <c r="B258" s="272"/>
      <c r="C258" s="118" t="s">
        <v>55</v>
      </c>
      <c r="D258" s="118" t="s">
        <v>79</v>
      </c>
      <c r="E258" s="179">
        <f>34.8*$K$176</f>
        <v>37.027200000000001</v>
      </c>
      <c r="F258" s="178">
        <f>34.82*K176</f>
        <v>37.048480000000005</v>
      </c>
      <c r="G258" s="122"/>
      <c r="H258" s="79"/>
      <c r="I258" s="79"/>
      <c r="J258" s="335"/>
    </row>
    <row r="259" spans="1:10" x14ac:dyDescent="0.2">
      <c r="A259" s="270" t="s">
        <v>200</v>
      </c>
      <c r="B259" s="363" t="s">
        <v>199</v>
      </c>
      <c r="C259" s="118" t="s">
        <v>53</v>
      </c>
      <c r="D259" s="118" t="s">
        <v>65</v>
      </c>
      <c r="E259" s="179">
        <f>43.3*$K$176</f>
        <v>46.071199999999997</v>
      </c>
      <c r="F259" s="82">
        <f>43.26*K176</f>
        <v>46.028640000000003</v>
      </c>
      <c r="G259" s="82"/>
      <c r="H259" s="82"/>
      <c r="I259" s="82"/>
      <c r="J259" s="335" t="s">
        <v>170</v>
      </c>
    </row>
    <row r="260" spans="1:10" x14ac:dyDescent="0.2">
      <c r="A260" s="270"/>
      <c r="B260" s="363"/>
      <c r="C260" s="118" t="s">
        <v>55</v>
      </c>
      <c r="D260" s="118" t="s">
        <v>79</v>
      </c>
      <c r="E260" s="179">
        <f>34.8*$K$176</f>
        <v>37.027200000000001</v>
      </c>
      <c r="F260" s="193">
        <f>34.82*K176</f>
        <v>37.048480000000005</v>
      </c>
      <c r="G260" s="152"/>
      <c r="H260" s="152"/>
      <c r="I260" s="152"/>
      <c r="J260" s="335"/>
    </row>
  </sheetData>
  <mergeCells count="316">
    <mergeCell ref="A84:A86"/>
    <mergeCell ref="B84:B86"/>
    <mergeCell ref="J84:J86"/>
    <mergeCell ref="C85:C86"/>
    <mergeCell ref="A67:A74"/>
    <mergeCell ref="A75:A78"/>
    <mergeCell ref="J67:J74"/>
    <mergeCell ref="J75:J76"/>
    <mergeCell ref="I71:I72"/>
    <mergeCell ref="E73:E74"/>
    <mergeCell ref="F73:F74"/>
    <mergeCell ref="G73:G74"/>
    <mergeCell ref="H73:H74"/>
    <mergeCell ref="I73:I74"/>
    <mergeCell ref="E71:E72"/>
    <mergeCell ref="F71:F72"/>
    <mergeCell ref="G71:G72"/>
    <mergeCell ref="I75:I76"/>
    <mergeCell ref="J259:J260"/>
    <mergeCell ref="A259:A260"/>
    <mergeCell ref="B259:B260"/>
    <mergeCell ref="B12:J12"/>
    <mergeCell ref="A13:A14"/>
    <mergeCell ref="B13:B14"/>
    <mergeCell ref="J13:J14"/>
    <mergeCell ref="A16:A18"/>
    <mergeCell ref="B16:B18"/>
    <mergeCell ref="J16:J18"/>
    <mergeCell ref="B29:J29"/>
    <mergeCell ref="A30:A31"/>
    <mergeCell ref="B30:B31"/>
    <mergeCell ref="J30:J31"/>
    <mergeCell ref="A33:A35"/>
    <mergeCell ref="B33:B35"/>
    <mergeCell ref="J33:J35"/>
    <mergeCell ref="A19:A20"/>
    <mergeCell ref="B19:B20"/>
    <mergeCell ref="J19:J20"/>
    <mergeCell ref="A23:A24"/>
    <mergeCell ref="B23:B24"/>
    <mergeCell ref="A25:A27"/>
    <mergeCell ref="B25:B27"/>
    <mergeCell ref="A43:A45"/>
    <mergeCell ref="B43:B45"/>
    <mergeCell ref="A56:B56"/>
    <mergeCell ref="E56:I56"/>
    <mergeCell ref="A36:A37"/>
    <mergeCell ref="B36:B37"/>
    <mergeCell ref="J36:J37"/>
    <mergeCell ref="A38:A39"/>
    <mergeCell ref="B38:B39"/>
    <mergeCell ref="A41:A42"/>
    <mergeCell ref="B41:B42"/>
    <mergeCell ref="A50:J50"/>
    <mergeCell ref="A51:J51"/>
    <mergeCell ref="A5:J5"/>
    <mergeCell ref="A6:J6"/>
    <mergeCell ref="A9:B9"/>
    <mergeCell ref="C9:C11"/>
    <mergeCell ref="D9:D11"/>
    <mergeCell ref="E9:I10"/>
    <mergeCell ref="J9:J11"/>
    <mergeCell ref="A10:A11"/>
    <mergeCell ref="B10:B11"/>
    <mergeCell ref="A64:A66"/>
    <mergeCell ref="B65:B66"/>
    <mergeCell ref="C65:C66"/>
    <mergeCell ref="E65:E66"/>
    <mergeCell ref="F65:F66"/>
    <mergeCell ref="G65:G66"/>
    <mergeCell ref="H65:H66"/>
    <mergeCell ref="A60:A63"/>
    <mergeCell ref="B60:B63"/>
    <mergeCell ref="C60:C62"/>
    <mergeCell ref="E61:E62"/>
    <mergeCell ref="F61:F62"/>
    <mergeCell ref="G61:G62"/>
    <mergeCell ref="B57:I57"/>
    <mergeCell ref="B58:I58"/>
    <mergeCell ref="J57:J58"/>
    <mergeCell ref="E85:E86"/>
    <mergeCell ref="F85:F86"/>
    <mergeCell ref="G85:G86"/>
    <mergeCell ref="H85:H86"/>
    <mergeCell ref="I85:I86"/>
    <mergeCell ref="C75:C76"/>
    <mergeCell ref="D75:D76"/>
    <mergeCell ref="E75:E76"/>
    <mergeCell ref="F75:F76"/>
    <mergeCell ref="G75:G76"/>
    <mergeCell ref="H75:H76"/>
    <mergeCell ref="C68:C70"/>
    <mergeCell ref="C71:C74"/>
    <mergeCell ref="H71:H72"/>
    <mergeCell ref="J77:J78"/>
    <mergeCell ref="H61:H62"/>
    <mergeCell ref="I61:I62"/>
    <mergeCell ref="I65:I66"/>
    <mergeCell ref="J65:J66"/>
    <mergeCell ref="B67:B74"/>
    <mergeCell ref="B75:B78"/>
    <mergeCell ref="A99:A104"/>
    <mergeCell ref="B99:B104"/>
    <mergeCell ref="J99:J101"/>
    <mergeCell ref="C100:C101"/>
    <mergeCell ref="E100:E101"/>
    <mergeCell ref="F100:F101"/>
    <mergeCell ref="G100:G101"/>
    <mergeCell ref="H100:H101"/>
    <mergeCell ref="H89:H90"/>
    <mergeCell ref="I89:I90"/>
    <mergeCell ref="J89:J90"/>
    <mergeCell ref="C91:C97"/>
    <mergeCell ref="J91:J97"/>
    <mergeCell ref="E92:E93"/>
    <mergeCell ref="F92:F93"/>
    <mergeCell ref="G92:G93"/>
    <mergeCell ref="H92:H93"/>
    <mergeCell ref="I92:I93"/>
    <mergeCell ref="C88:C90"/>
    <mergeCell ref="E89:E90"/>
    <mergeCell ref="F89:F90"/>
    <mergeCell ref="G89:G90"/>
    <mergeCell ref="I100:I101"/>
    <mergeCell ref="J102:J104"/>
    <mergeCell ref="C103:C104"/>
    <mergeCell ref="E103:E104"/>
    <mergeCell ref="F103:F104"/>
    <mergeCell ref="G103:G104"/>
    <mergeCell ref="H103:H104"/>
    <mergeCell ref="I103:I104"/>
    <mergeCell ref="H96:H97"/>
    <mergeCell ref="I96:I97"/>
    <mergeCell ref="E96:E97"/>
    <mergeCell ref="F96:F97"/>
    <mergeCell ref="G96:G97"/>
    <mergeCell ref="C112:C113"/>
    <mergeCell ref="E112:E113"/>
    <mergeCell ref="F112:F113"/>
    <mergeCell ref="G112:G113"/>
    <mergeCell ref="H112:H113"/>
    <mergeCell ref="I112:I113"/>
    <mergeCell ref="A107:A113"/>
    <mergeCell ref="B107:B113"/>
    <mergeCell ref="J107:J109"/>
    <mergeCell ref="C108:C109"/>
    <mergeCell ref="E108:E109"/>
    <mergeCell ref="F108:F109"/>
    <mergeCell ref="G108:G109"/>
    <mergeCell ref="H108:H109"/>
    <mergeCell ref="I108:I109"/>
    <mergeCell ref="J110:J113"/>
    <mergeCell ref="B116:J116"/>
    <mergeCell ref="A119:A122"/>
    <mergeCell ref="B119:B122"/>
    <mergeCell ref="J119:J121"/>
    <mergeCell ref="C120:C121"/>
    <mergeCell ref="E120:E121"/>
    <mergeCell ref="F120:F121"/>
    <mergeCell ref="G120:G121"/>
    <mergeCell ref="H120:H121"/>
    <mergeCell ref="I120:I121"/>
    <mergeCell ref="J130:J135"/>
    <mergeCell ref="C131:C133"/>
    <mergeCell ref="E132:E133"/>
    <mergeCell ref="F132:F133"/>
    <mergeCell ref="G132:G133"/>
    <mergeCell ref="H132:H133"/>
    <mergeCell ref="I132:I133"/>
    <mergeCell ref="C134:C135"/>
    <mergeCell ref="E134:E135"/>
    <mergeCell ref="F134:F135"/>
    <mergeCell ref="G134:G135"/>
    <mergeCell ref="H134:H135"/>
    <mergeCell ref="I134:I135"/>
    <mergeCell ref="A146:A151"/>
    <mergeCell ref="B146:B151"/>
    <mergeCell ref="C147:C151"/>
    <mergeCell ref="I150:I151"/>
    <mergeCell ref="A138:A144"/>
    <mergeCell ref="B138:B144"/>
    <mergeCell ref="A136:A137"/>
    <mergeCell ref="B136:B137"/>
    <mergeCell ref="A129:A135"/>
    <mergeCell ref="B129:B135"/>
    <mergeCell ref="J139:J144"/>
    <mergeCell ref="C140:C142"/>
    <mergeCell ref="E141:E142"/>
    <mergeCell ref="F141:F142"/>
    <mergeCell ref="G141:G142"/>
    <mergeCell ref="H141:H142"/>
    <mergeCell ref="I141:I142"/>
    <mergeCell ref="C143:C144"/>
    <mergeCell ref="B158:J158"/>
    <mergeCell ref="J147:J151"/>
    <mergeCell ref="E148:E149"/>
    <mergeCell ref="F148:F149"/>
    <mergeCell ref="G148:G149"/>
    <mergeCell ref="H148:H149"/>
    <mergeCell ref="I148:I149"/>
    <mergeCell ref="E150:E151"/>
    <mergeCell ref="F150:F151"/>
    <mergeCell ref="G150:G151"/>
    <mergeCell ref="H150:H151"/>
    <mergeCell ref="E143:E144"/>
    <mergeCell ref="F143:F144"/>
    <mergeCell ref="G143:G144"/>
    <mergeCell ref="H143:H144"/>
    <mergeCell ref="I143:I144"/>
    <mergeCell ref="C162:C164"/>
    <mergeCell ref="B174:J174"/>
    <mergeCell ref="A154:A157"/>
    <mergeCell ref="B154:B157"/>
    <mergeCell ref="C155:C157"/>
    <mergeCell ref="J155:J157"/>
    <mergeCell ref="E156:E157"/>
    <mergeCell ref="F156:F157"/>
    <mergeCell ref="G156:G157"/>
    <mergeCell ref="H156:H157"/>
    <mergeCell ref="I156:I157"/>
    <mergeCell ref="A179:A180"/>
    <mergeCell ref="B179:B180"/>
    <mergeCell ref="J179:J180"/>
    <mergeCell ref="A181:A182"/>
    <mergeCell ref="B181:B182"/>
    <mergeCell ref="J181:J182"/>
    <mergeCell ref="A175:A176"/>
    <mergeCell ref="B175:B176"/>
    <mergeCell ref="J175:J176"/>
    <mergeCell ref="A177:A178"/>
    <mergeCell ref="B177:B178"/>
    <mergeCell ref="J177:J178"/>
    <mergeCell ref="A187:A188"/>
    <mergeCell ref="B187:B188"/>
    <mergeCell ref="J187:J188"/>
    <mergeCell ref="A189:A190"/>
    <mergeCell ref="B189:B190"/>
    <mergeCell ref="J189:J190"/>
    <mergeCell ref="A183:A184"/>
    <mergeCell ref="B183:B184"/>
    <mergeCell ref="J183:J184"/>
    <mergeCell ref="A185:A186"/>
    <mergeCell ref="B185:B186"/>
    <mergeCell ref="J185:J186"/>
    <mergeCell ref="A195:A196"/>
    <mergeCell ref="B195:B196"/>
    <mergeCell ref="J195:J196"/>
    <mergeCell ref="A197:A198"/>
    <mergeCell ref="B197:B198"/>
    <mergeCell ref="J197:J198"/>
    <mergeCell ref="A191:A192"/>
    <mergeCell ref="B191:B192"/>
    <mergeCell ref="J191:J192"/>
    <mergeCell ref="A193:A194"/>
    <mergeCell ref="B193:B194"/>
    <mergeCell ref="J193:J194"/>
    <mergeCell ref="A199:A200"/>
    <mergeCell ref="B199:B200"/>
    <mergeCell ref="J199:J200"/>
    <mergeCell ref="A201:C201"/>
    <mergeCell ref="A203:B203"/>
    <mergeCell ref="C203:C205"/>
    <mergeCell ref="D203:D205"/>
    <mergeCell ref="E203:I204"/>
    <mergeCell ref="J203:J205"/>
    <mergeCell ref="A204:A205"/>
    <mergeCell ref="E234:I235"/>
    <mergeCell ref="J234:J236"/>
    <mergeCell ref="A235:A236"/>
    <mergeCell ref="B235:B236"/>
    <mergeCell ref="B204:B205"/>
    <mergeCell ref="B206:J206"/>
    <mergeCell ref="A207:A209"/>
    <mergeCell ref="B207:B209"/>
    <mergeCell ref="A210:A212"/>
    <mergeCell ref="B210:B212"/>
    <mergeCell ref="A257:A258"/>
    <mergeCell ref="B257:B258"/>
    <mergeCell ref="A253:A254"/>
    <mergeCell ref="B253:B254"/>
    <mergeCell ref="J253:J254"/>
    <mergeCell ref="A255:A256"/>
    <mergeCell ref="B255:B256"/>
    <mergeCell ref="J255:J256"/>
    <mergeCell ref="B246:J246"/>
    <mergeCell ref="A247:A248"/>
    <mergeCell ref="B247:B248"/>
    <mergeCell ref="A249:A250"/>
    <mergeCell ref="B249:B250"/>
    <mergeCell ref="A251:A252"/>
    <mergeCell ref="B251:B252"/>
    <mergeCell ref="J257:J258"/>
    <mergeCell ref="B237:J237"/>
    <mergeCell ref="A226:A227"/>
    <mergeCell ref="J61:J63"/>
    <mergeCell ref="B88:B97"/>
    <mergeCell ref="A88:A97"/>
    <mergeCell ref="B162:B165"/>
    <mergeCell ref="A162:A165"/>
    <mergeCell ref="B168:B169"/>
    <mergeCell ref="A168:A169"/>
    <mergeCell ref="B172:B173"/>
    <mergeCell ref="A172:A173"/>
    <mergeCell ref="B226:B227"/>
    <mergeCell ref="A228:A229"/>
    <mergeCell ref="B228:B229"/>
    <mergeCell ref="A234:B234"/>
    <mergeCell ref="C234:C236"/>
    <mergeCell ref="A215:A217"/>
    <mergeCell ref="B215:B217"/>
    <mergeCell ref="B218:J218"/>
    <mergeCell ref="A220:A222"/>
    <mergeCell ref="B220:B222"/>
    <mergeCell ref="A223:A225"/>
    <mergeCell ref="B223:B225"/>
    <mergeCell ref="D234:D236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4" fitToWidth="0" fitToHeight="0" orientation="landscape" useFirstPageNumber="1" r:id="rId1"/>
  <headerFooter>
    <oddHeader>&amp;C&amp;"Times New Roman,обычный"&amp;14&amp;P</oddHeader>
  </headerFooter>
  <rowBreaks count="3" manualBreakCount="3">
    <brk id="21" max="9" man="1"/>
    <brk id="39" max="9" man="1"/>
    <brk id="25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80" zoomScaleNormal="90" zoomScaleSheetLayoutView="80" workbookViewId="0">
      <selection activeCell="A16" sqref="A16:I16"/>
    </sheetView>
  </sheetViews>
  <sheetFormatPr defaultRowHeight="15" x14ac:dyDescent="0.25"/>
  <cols>
    <col min="1" max="1" width="9.140625" style="222" customWidth="1"/>
    <col min="2" max="2" width="42.140625" style="222" customWidth="1"/>
    <col min="3" max="3" width="10" style="222" customWidth="1"/>
    <col min="4" max="4" width="10.28515625" style="222" customWidth="1"/>
    <col min="5" max="8" width="7.42578125" style="222" customWidth="1"/>
    <col min="9" max="9" width="7.140625" style="222" customWidth="1"/>
    <col min="10" max="10" width="19.7109375" style="222" customWidth="1"/>
    <col min="11" max="11" width="15.42578125" style="222" customWidth="1"/>
    <col min="12" max="16384" width="9.140625" style="222"/>
  </cols>
  <sheetData>
    <row r="1" spans="1:11" ht="15.75" x14ac:dyDescent="0.25">
      <c r="A1" s="385" t="s">
        <v>247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1" ht="12" customHeight="1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</row>
    <row r="3" spans="1:11" ht="18.75" x14ac:dyDescent="0.25">
      <c r="A3" s="227" t="s">
        <v>0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1" ht="18.75" x14ac:dyDescent="0.25">
      <c r="A4" s="227"/>
      <c r="B4" s="226"/>
      <c r="C4" s="226"/>
      <c r="D4" s="226"/>
      <c r="E4" s="226"/>
      <c r="F4" s="226"/>
      <c r="G4" s="226"/>
      <c r="H4" s="226"/>
      <c r="I4" s="226"/>
      <c r="J4" s="226"/>
    </row>
    <row r="5" spans="1:11" ht="38.25" x14ac:dyDescent="0.25">
      <c r="A5" s="386" t="s">
        <v>248</v>
      </c>
      <c r="B5" s="387"/>
      <c r="C5" s="388" t="s">
        <v>2</v>
      </c>
      <c r="D5" s="244" t="s">
        <v>249</v>
      </c>
      <c r="E5" s="389" t="s">
        <v>250</v>
      </c>
      <c r="F5" s="386"/>
      <c r="G5" s="386"/>
      <c r="H5" s="386"/>
      <c r="I5" s="386"/>
      <c r="J5" s="386" t="s">
        <v>5</v>
      </c>
    </row>
    <row r="6" spans="1:11" ht="38.25" x14ac:dyDescent="0.25">
      <c r="A6" s="225" t="s">
        <v>251</v>
      </c>
      <c r="B6" s="225" t="s">
        <v>252</v>
      </c>
      <c r="C6" s="388"/>
      <c r="D6" s="245" t="s">
        <v>253</v>
      </c>
      <c r="E6" s="246" t="s">
        <v>8</v>
      </c>
      <c r="F6" s="225" t="s">
        <v>9</v>
      </c>
      <c r="G6" s="225" t="s">
        <v>10</v>
      </c>
      <c r="H6" s="225" t="s">
        <v>11</v>
      </c>
      <c r="I6" s="225" t="s">
        <v>12</v>
      </c>
      <c r="J6" s="386"/>
    </row>
    <row r="7" spans="1:11" x14ac:dyDescent="0.25">
      <c r="A7" s="247" t="s">
        <v>254</v>
      </c>
      <c r="B7" s="384" t="s">
        <v>255</v>
      </c>
      <c r="C7" s="384"/>
      <c r="D7" s="390"/>
      <c r="E7" s="384"/>
      <c r="F7" s="384"/>
      <c r="G7" s="384"/>
      <c r="H7" s="384"/>
      <c r="I7" s="384"/>
      <c r="J7" s="384"/>
    </row>
    <row r="8" spans="1:11" ht="40.5" customHeight="1" x14ac:dyDescent="0.25">
      <c r="A8" s="224">
        <v>121300</v>
      </c>
      <c r="B8" s="223" t="s">
        <v>256</v>
      </c>
      <c r="C8" s="224" t="s">
        <v>53</v>
      </c>
      <c r="D8" s="224" t="s">
        <v>243</v>
      </c>
      <c r="E8" s="248">
        <f>18*$K$8</f>
        <v>19.152000000000001</v>
      </c>
      <c r="F8" s="248">
        <f>15.83*$K$8</f>
        <v>16.843120000000003</v>
      </c>
      <c r="G8" s="224"/>
      <c r="H8" s="224"/>
      <c r="I8" s="224"/>
      <c r="J8" s="224" t="s">
        <v>66</v>
      </c>
      <c r="K8" s="222">
        <v>1.0640000000000001</v>
      </c>
    </row>
    <row r="9" spans="1:11" x14ac:dyDescent="0.25">
      <c r="A9" s="224">
        <v>129000</v>
      </c>
      <c r="B9" s="223" t="s">
        <v>257</v>
      </c>
      <c r="C9" s="224" t="s">
        <v>53</v>
      </c>
      <c r="D9" s="224" t="s">
        <v>243</v>
      </c>
      <c r="E9" s="248">
        <f t="shared" ref="E9:E13" si="0">18*$K$8</f>
        <v>19.152000000000001</v>
      </c>
      <c r="F9" s="248">
        <f t="shared" ref="F9:F13" si="1">15.83*$K$8</f>
        <v>16.843120000000003</v>
      </c>
      <c r="G9" s="224"/>
      <c r="H9" s="224"/>
      <c r="I9" s="224"/>
      <c r="J9" s="224" t="s">
        <v>66</v>
      </c>
    </row>
    <row r="10" spans="1:11" ht="54.75" customHeight="1" x14ac:dyDescent="0.25">
      <c r="A10" s="224">
        <v>141001</v>
      </c>
      <c r="B10" s="223" t="s">
        <v>258</v>
      </c>
      <c r="C10" s="224" t="s">
        <v>53</v>
      </c>
      <c r="D10" s="224" t="s">
        <v>243</v>
      </c>
      <c r="E10" s="248">
        <f t="shared" si="0"/>
        <v>19.152000000000001</v>
      </c>
      <c r="F10" s="248">
        <f t="shared" si="1"/>
        <v>16.843120000000003</v>
      </c>
      <c r="G10" s="224"/>
      <c r="H10" s="224"/>
      <c r="I10" s="224"/>
      <c r="J10" s="224" t="s">
        <v>66</v>
      </c>
    </row>
    <row r="11" spans="1:11" ht="41.25" customHeight="1" x14ac:dyDescent="0.25">
      <c r="A11" s="224">
        <v>521100</v>
      </c>
      <c r="B11" s="223" t="s">
        <v>259</v>
      </c>
      <c r="C11" s="224" t="s">
        <v>53</v>
      </c>
      <c r="D11" s="224" t="s">
        <v>243</v>
      </c>
      <c r="E11" s="248">
        <f t="shared" si="0"/>
        <v>19.152000000000001</v>
      </c>
      <c r="F11" s="248">
        <f t="shared" si="1"/>
        <v>16.843120000000003</v>
      </c>
      <c r="G11" s="224"/>
      <c r="H11" s="224"/>
      <c r="I11" s="224"/>
      <c r="J11" s="224" t="s">
        <v>66</v>
      </c>
    </row>
    <row r="12" spans="1:11" x14ac:dyDescent="0.25">
      <c r="A12" s="224">
        <v>521300</v>
      </c>
      <c r="B12" s="223" t="s">
        <v>260</v>
      </c>
      <c r="C12" s="224" t="s">
        <v>53</v>
      </c>
      <c r="D12" s="224" t="s">
        <v>243</v>
      </c>
      <c r="E12" s="248">
        <f t="shared" si="0"/>
        <v>19.152000000000001</v>
      </c>
      <c r="F12" s="248">
        <f t="shared" si="1"/>
        <v>16.843120000000003</v>
      </c>
      <c r="G12" s="224"/>
      <c r="H12" s="224"/>
      <c r="I12" s="224"/>
      <c r="J12" s="224" t="s">
        <v>66</v>
      </c>
    </row>
    <row r="13" spans="1:11" ht="24.75" customHeight="1" x14ac:dyDescent="0.25">
      <c r="A13" s="224">
        <v>521500</v>
      </c>
      <c r="B13" s="223" t="s">
        <v>261</v>
      </c>
      <c r="C13" s="224" t="s">
        <v>53</v>
      </c>
      <c r="D13" s="224" t="s">
        <v>243</v>
      </c>
      <c r="E13" s="248">
        <f t="shared" si="0"/>
        <v>19.152000000000001</v>
      </c>
      <c r="F13" s="248">
        <f t="shared" si="1"/>
        <v>16.843120000000003</v>
      </c>
      <c r="G13" s="224"/>
      <c r="H13" s="224"/>
      <c r="I13" s="224"/>
      <c r="J13" s="224" t="s">
        <v>66</v>
      </c>
    </row>
    <row r="14" spans="1:11" x14ac:dyDescent="0.25">
      <c r="A14" s="247" t="s">
        <v>262</v>
      </c>
      <c r="B14" s="384" t="s">
        <v>263</v>
      </c>
      <c r="C14" s="384"/>
      <c r="D14" s="384"/>
      <c r="E14" s="384"/>
      <c r="F14" s="384"/>
      <c r="G14" s="384"/>
      <c r="H14" s="384"/>
      <c r="I14" s="384"/>
      <c r="J14" s="384"/>
    </row>
    <row r="15" spans="1:11" ht="24.75" customHeight="1" x14ac:dyDescent="0.25">
      <c r="A15" s="249">
        <v>500182</v>
      </c>
      <c r="B15" s="223" t="s">
        <v>264</v>
      </c>
      <c r="C15" s="224" t="s">
        <v>53</v>
      </c>
      <c r="D15" s="224" t="s">
        <v>239</v>
      </c>
      <c r="E15" s="248">
        <f>15*$K$8</f>
        <v>15.96</v>
      </c>
      <c r="F15" s="248">
        <f>E15*$K$8</f>
        <v>16.981440000000003</v>
      </c>
      <c r="G15" s="224"/>
      <c r="H15" s="224"/>
      <c r="I15" s="224"/>
      <c r="J15" s="224" t="s">
        <v>66</v>
      </c>
    </row>
    <row r="16" spans="1:11" x14ac:dyDescent="0.25">
      <c r="A16" s="249">
        <v>461473</v>
      </c>
      <c r="B16" s="223" t="s">
        <v>265</v>
      </c>
      <c r="C16" s="224" t="s">
        <v>53</v>
      </c>
      <c r="D16" s="224" t="s">
        <v>239</v>
      </c>
      <c r="E16" s="248">
        <f t="shared" ref="E16:E17" si="2">15*$K$8</f>
        <v>15.96</v>
      </c>
      <c r="F16" s="248">
        <f t="shared" ref="F16:F17" si="3">E16*$K$8</f>
        <v>16.981440000000003</v>
      </c>
      <c r="G16" s="224"/>
      <c r="H16" s="224"/>
      <c r="I16" s="224"/>
      <c r="J16" s="224" t="s">
        <v>66</v>
      </c>
    </row>
    <row r="17" spans="1:10" x14ac:dyDescent="0.25">
      <c r="A17" s="249">
        <v>485530</v>
      </c>
      <c r="B17" s="223" t="s">
        <v>266</v>
      </c>
      <c r="C17" s="224" t="s">
        <v>53</v>
      </c>
      <c r="D17" s="224" t="s">
        <v>239</v>
      </c>
      <c r="E17" s="248">
        <f t="shared" si="2"/>
        <v>15.96</v>
      </c>
      <c r="F17" s="248">
        <f t="shared" si="3"/>
        <v>16.981440000000003</v>
      </c>
      <c r="G17" s="224"/>
      <c r="H17" s="224"/>
      <c r="I17" s="224"/>
      <c r="J17" s="224" t="s">
        <v>66</v>
      </c>
    </row>
    <row r="18" spans="1:10" ht="24.75" customHeight="1" x14ac:dyDescent="0.25">
      <c r="A18" s="247" t="s">
        <v>267</v>
      </c>
      <c r="B18" s="384" t="s">
        <v>268</v>
      </c>
      <c r="C18" s="384"/>
      <c r="D18" s="384"/>
      <c r="E18" s="384"/>
      <c r="F18" s="384"/>
      <c r="G18" s="384"/>
      <c r="H18" s="384"/>
      <c r="I18" s="384"/>
      <c r="J18" s="384"/>
    </row>
    <row r="19" spans="1:10" x14ac:dyDescent="0.25">
      <c r="A19" s="249">
        <v>404256</v>
      </c>
      <c r="B19" s="223" t="s">
        <v>269</v>
      </c>
      <c r="C19" s="224" t="s">
        <v>53</v>
      </c>
      <c r="D19" s="224" t="s">
        <v>270</v>
      </c>
      <c r="E19" s="248">
        <f t="shared" ref="E19:E22" si="4">15*$K$8</f>
        <v>15.96</v>
      </c>
      <c r="F19" s="248">
        <f t="shared" ref="F19:F22" si="5">E19*$K$8</f>
        <v>16.981440000000003</v>
      </c>
      <c r="G19" s="224"/>
      <c r="H19" s="224"/>
      <c r="I19" s="224"/>
      <c r="J19" s="224" t="s">
        <v>66</v>
      </c>
    </row>
    <row r="20" spans="1:10" x14ac:dyDescent="0.25">
      <c r="A20" s="249">
        <v>405256</v>
      </c>
      <c r="B20" s="223" t="s">
        <v>271</v>
      </c>
      <c r="C20" s="224" t="s">
        <v>53</v>
      </c>
      <c r="D20" s="224" t="s">
        <v>270</v>
      </c>
      <c r="E20" s="248">
        <f t="shared" si="4"/>
        <v>15.96</v>
      </c>
      <c r="F20" s="248" t="e">
        <f>25.85*J10</f>
        <v>#VALUE!</v>
      </c>
      <c r="G20" s="224"/>
      <c r="H20" s="224"/>
      <c r="I20" s="224"/>
      <c r="J20" s="224" t="s">
        <v>66</v>
      </c>
    </row>
    <row r="21" spans="1:10" x14ac:dyDescent="0.25">
      <c r="A21" s="249">
        <v>416256</v>
      </c>
      <c r="B21" s="223" t="s">
        <v>272</v>
      </c>
      <c r="C21" s="224" t="s">
        <v>53</v>
      </c>
      <c r="D21" s="224" t="s">
        <v>270</v>
      </c>
      <c r="E21" s="248">
        <f t="shared" si="4"/>
        <v>15.96</v>
      </c>
      <c r="F21" s="248">
        <f t="shared" si="5"/>
        <v>16.981440000000003</v>
      </c>
      <c r="G21" s="224"/>
      <c r="H21" s="224"/>
      <c r="I21" s="224"/>
      <c r="J21" s="224" t="s">
        <v>66</v>
      </c>
    </row>
    <row r="22" spans="1:10" x14ac:dyDescent="0.25">
      <c r="A22" s="249">
        <v>418256</v>
      </c>
      <c r="B22" s="223" t="s">
        <v>273</v>
      </c>
      <c r="C22" s="224" t="s">
        <v>53</v>
      </c>
      <c r="D22" s="224" t="s">
        <v>270</v>
      </c>
      <c r="E22" s="248">
        <f t="shared" si="4"/>
        <v>15.96</v>
      </c>
      <c r="F22" s="248">
        <f t="shared" si="5"/>
        <v>16.981440000000003</v>
      </c>
      <c r="G22" s="224"/>
      <c r="H22" s="224"/>
      <c r="I22" s="224"/>
      <c r="J22" s="224" t="s">
        <v>66</v>
      </c>
    </row>
    <row r="25" spans="1:10" x14ac:dyDescent="0.25">
      <c r="B25" s="250" t="s">
        <v>238</v>
      </c>
    </row>
  </sheetData>
  <mergeCells count="8">
    <mergeCell ref="B14:J14"/>
    <mergeCell ref="B18:J18"/>
    <mergeCell ref="A1:J1"/>
    <mergeCell ref="A5:B5"/>
    <mergeCell ref="C5:C6"/>
    <mergeCell ref="E5:I5"/>
    <mergeCell ref="J5:J6"/>
    <mergeCell ref="B7:J7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9" orientation="landscape" useFirstPageNumber="1" r:id="rId1"/>
  <headerFooter>
    <oddHeader>&amp;C&amp;"Times New Roman,обычный"&amp;14&amp;P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view="pageBreakPreview" topLeftCell="A209" zoomScale="80" zoomScaleNormal="100" zoomScaleSheetLayoutView="80" workbookViewId="0">
      <selection activeCell="D230" sqref="D230"/>
    </sheetView>
  </sheetViews>
  <sheetFormatPr defaultRowHeight="12.75" x14ac:dyDescent="0.2"/>
  <cols>
    <col min="1" max="1" width="9.42578125" style="140" customWidth="1"/>
    <col min="2" max="2" width="25.28515625" style="141" customWidth="1"/>
    <col min="3" max="3" width="12" style="129" customWidth="1"/>
    <col min="4" max="4" width="16.140625" style="129" customWidth="1"/>
    <col min="5" max="5" width="8" style="142" customWidth="1"/>
    <col min="6" max="7" width="8.28515625" style="132" customWidth="1"/>
    <col min="8" max="8" width="7.42578125" style="132" customWidth="1"/>
    <col min="9" max="9" width="8.7109375" style="132" customWidth="1"/>
    <col min="10" max="10" width="18.85546875" style="129" customWidth="1"/>
    <col min="11" max="16384" width="9.140625" style="129"/>
  </cols>
  <sheetData>
    <row r="1" spans="1:10" ht="24" hidden="1" customHeight="1" thickBot="1" x14ac:dyDescent="0.25">
      <c r="A1" s="1" t="s">
        <v>0</v>
      </c>
      <c r="B1" s="8"/>
      <c r="C1" s="9"/>
      <c r="D1" s="9"/>
      <c r="E1" s="10"/>
      <c r="F1" s="11"/>
      <c r="G1" s="11"/>
      <c r="H1" s="11"/>
      <c r="I1" s="11"/>
    </row>
    <row r="2" spans="1:10" ht="57" hidden="1" customHeight="1" x14ac:dyDescent="0.2">
      <c r="A2" s="391" t="s">
        <v>1</v>
      </c>
      <c r="B2" s="392"/>
      <c r="C2" s="392" t="s">
        <v>2</v>
      </c>
      <c r="D2" s="392" t="s">
        <v>3</v>
      </c>
      <c r="E2" s="392" t="s">
        <v>4</v>
      </c>
      <c r="F2" s="392"/>
      <c r="G2" s="392"/>
      <c r="H2" s="392"/>
      <c r="I2" s="392"/>
      <c r="J2" s="395" t="s">
        <v>5</v>
      </c>
    </row>
    <row r="3" spans="1:10" ht="33" hidden="1" customHeight="1" x14ac:dyDescent="0.2">
      <c r="A3" s="398" t="s">
        <v>6</v>
      </c>
      <c r="B3" s="400" t="s">
        <v>7</v>
      </c>
      <c r="C3" s="393"/>
      <c r="D3" s="393"/>
      <c r="E3" s="393"/>
      <c r="F3" s="393"/>
      <c r="G3" s="393"/>
      <c r="H3" s="393"/>
      <c r="I3" s="393"/>
      <c r="J3" s="396"/>
    </row>
    <row r="4" spans="1:10" ht="33.75" hidden="1" customHeight="1" thickBot="1" x14ac:dyDescent="0.25">
      <c r="A4" s="399"/>
      <c r="B4" s="401"/>
      <c r="C4" s="394"/>
      <c r="D4" s="394"/>
      <c r="E4" s="12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397"/>
    </row>
    <row r="5" spans="1:10" hidden="1" x14ac:dyDescent="0.2">
      <c r="A5" s="14" t="s">
        <v>13</v>
      </c>
      <c r="B5" s="300" t="s">
        <v>14</v>
      </c>
      <c r="C5" s="300"/>
      <c r="D5" s="300"/>
      <c r="E5" s="300"/>
      <c r="F5" s="300"/>
      <c r="G5" s="300"/>
      <c r="H5" s="300"/>
      <c r="I5" s="300"/>
      <c r="J5" s="300"/>
    </row>
    <row r="6" spans="1:10" hidden="1" x14ac:dyDescent="0.2">
      <c r="A6" s="270" t="s">
        <v>18</v>
      </c>
      <c r="B6" s="268" t="s">
        <v>19</v>
      </c>
      <c r="C6" s="90" t="s">
        <v>22</v>
      </c>
      <c r="D6" s="90" t="s">
        <v>20</v>
      </c>
      <c r="E6" s="91">
        <f>22.5*1.055</f>
        <v>23.737499999999997</v>
      </c>
      <c r="F6" s="89">
        <f>23.63*1.055</f>
        <v>24.929649999999999</v>
      </c>
      <c r="G6" s="89"/>
      <c r="H6" s="89"/>
      <c r="I6" s="89"/>
      <c r="J6" s="269" t="s">
        <v>15</v>
      </c>
    </row>
    <row r="7" spans="1:10" ht="40.5" hidden="1" customHeight="1" x14ac:dyDescent="0.2">
      <c r="A7" s="270"/>
      <c r="B7" s="268"/>
      <c r="C7" s="90" t="s">
        <v>22</v>
      </c>
      <c r="D7" s="90" t="s">
        <v>23</v>
      </c>
      <c r="E7" s="91">
        <f>10.4*1.055</f>
        <v>10.972</v>
      </c>
      <c r="F7" s="89">
        <f>10.4*1.055</f>
        <v>10.972</v>
      </c>
      <c r="G7" s="89"/>
      <c r="H7" s="89"/>
      <c r="I7" s="89"/>
      <c r="J7" s="269"/>
    </row>
    <row r="8" spans="1:10" ht="53.25" hidden="1" customHeight="1" x14ac:dyDescent="0.2">
      <c r="A8" s="85" t="s">
        <v>24</v>
      </c>
      <c r="B8" s="104" t="s">
        <v>25</v>
      </c>
      <c r="C8" s="90" t="s">
        <v>22</v>
      </c>
      <c r="D8" s="90" t="s">
        <v>26</v>
      </c>
      <c r="E8" s="130">
        <f>24.5*1.055</f>
        <v>25.8475</v>
      </c>
      <c r="F8" s="89" t="s">
        <v>21</v>
      </c>
      <c r="G8" s="131" t="s">
        <v>21</v>
      </c>
      <c r="H8" s="89"/>
      <c r="I8" s="89"/>
      <c r="J8" s="90" t="s">
        <v>15</v>
      </c>
    </row>
    <row r="9" spans="1:10" hidden="1" x14ac:dyDescent="0.2">
      <c r="A9" s="270" t="s">
        <v>27</v>
      </c>
      <c r="B9" s="322" t="s">
        <v>28</v>
      </c>
      <c r="C9" s="90" t="s">
        <v>22</v>
      </c>
      <c r="D9" s="90" t="s">
        <v>26</v>
      </c>
      <c r="E9" s="91">
        <f>24.5*1.055</f>
        <v>25.8475</v>
      </c>
      <c r="F9" s="89">
        <f>25.73*1.055</f>
        <v>27.145149999999997</v>
      </c>
      <c r="G9" s="89">
        <v>27.145149999999997</v>
      </c>
      <c r="H9" s="89"/>
      <c r="I9" s="89"/>
      <c r="J9" s="269" t="s">
        <v>15</v>
      </c>
    </row>
    <row r="10" spans="1:10" ht="25.5" hidden="1" x14ac:dyDescent="0.2">
      <c r="A10" s="270"/>
      <c r="B10" s="322"/>
      <c r="C10" s="90" t="s">
        <v>22</v>
      </c>
      <c r="D10" s="90" t="s">
        <v>29</v>
      </c>
      <c r="E10" s="91">
        <f>10.4*1.055</f>
        <v>10.972</v>
      </c>
      <c r="F10" s="89">
        <f>10.4*1.055</f>
        <v>10.972</v>
      </c>
      <c r="G10" s="89">
        <f>10.4*1.055</f>
        <v>10.972</v>
      </c>
      <c r="H10" s="89"/>
      <c r="I10" s="89"/>
      <c r="J10" s="269"/>
    </row>
    <row r="11" spans="1:10" hidden="1" x14ac:dyDescent="0.2">
      <c r="A11" s="270"/>
      <c r="B11" s="322"/>
      <c r="C11" s="90" t="s">
        <v>37</v>
      </c>
      <c r="D11" s="90" t="s">
        <v>30</v>
      </c>
      <c r="E11" s="91">
        <f>1.055*19</f>
        <v>20.044999999999998</v>
      </c>
      <c r="F11" s="89">
        <f>1.055*19.95</f>
        <v>21.047249999999998</v>
      </c>
      <c r="G11" s="89">
        <f t="shared" ref="G11:H11" si="0">1.055*19.95</f>
        <v>21.047249999999998</v>
      </c>
      <c r="H11" s="89">
        <f t="shared" si="0"/>
        <v>21.047249999999998</v>
      </c>
      <c r="I11" s="21"/>
      <c r="J11" s="269"/>
    </row>
    <row r="12" spans="1:10" hidden="1" x14ac:dyDescent="0.2">
      <c r="A12" s="270" t="s">
        <v>31</v>
      </c>
      <c r="B12" s="268" t="s">
        <v>32</v>
      </c>
      <c r="C12" s="90" t="s">
        <v>22</v>
      </c>
      <c r="D12" s="90" t="s">
        <v>26</v>
      </c>
      <c r="E12" s="91">
        <f>24.5*1.055</f>
        <v>25.8475</v>
      </c>
      <c r="F12" s="89">
        <f>25.73*1.055</f>
        <v>27.145149999999997</v>
      </c>
      <c r="G12" s="89">
        <f>25.73*1.055</f>
        <v>27.145149999999997</v>
      </c>
      <c r="H12" s="89"/>
      <c r="J12" s="269" t="s">
        <v>15</v>
      </c>
    </row>
    <row r="13" spans="1:10" ht="25.5" hidden="1" x14ac:dyDescent="0.2">
      <c r="A13" s="270"/>
      <c r="B13" s="268"/>
      <c r="C13" s="90" t="s">
        <v>22</v>
      </c>
      <c r="D13" s="90" t="s">
        <v>29</v>
      </c>
      <c r="E13" s="91">
        <f>10.4*1.055</f>
        <v>10.972</v>
      </c>
      <c r="F13" s="91">
        <f>10.4*1.055</f>
        <v>10.972</v>
      </c>
      <c r="G13" s="89">
        <f>10.4*1.055</f>
        <v>10.972</v>
      </c>
      <c r="H13" s="91"/>
      <c r="I13" s="89"/>
      <c r="J13" s="269"/>
    </row>
    <row r="14" spans="1:10" ht="45" hidden="1" customHeight="1" x14ac:dyDescent="0.2">
      <c r="A14" s="85" t="s">
        <v>33</v>
      </c>
      <c r="B14" s="104" t="s">
        <v>34</v>
      </c>
      <c r="C14" s="90" t="s">
        <v>22</v>
      </c>
      <c r="D14" s="90" t="s">
        <v>26</v>
      </c>
      <c r="E14" s="130">
        <f>24.5*1.055</f>
        <v>25.8475</v>
      </c>
      <c r="F14" s="89"/>
      <c r="G14" s="89"/>
      <c r="H14" s="89"/>
      <c r="I14" s="89"/>
      <c r="J14" s="90" t="s">
        <v>15</v>
      </c>
    </row>
    <row r="15" spans="1:10" hidden="1" x14ac:dyDescent="0.2">
      <c r="A15" s="85" t="s">
        <v>35</v>
      </c>
      <c r="B15" s="104" t="s">
        <v>36</v>
      </c>
      <c r="C15" s="90" t="s">
        <v>37</v>
      </c>
      <c r="D15" s="90" t="s">
        <v>38</v>
      </c>
      <c r="E15" s="91">
        <f>1.055*19</f>
        <v>20.044999999999998</v>
      </c>
      <c r="F15" s="89">
        <f>1.055*19.95</f>
        <v>21.047249999999998</v>
      </c>
      <c r="G15" s="89">
        <f>1.055*19.95</f>
        <v>21.047249999999998</v>
      </c>
      <c r="H15" s="89"/>
      <c r="I15" s="89"/>
      <c r="J15" s="90" t="s">
        <v>15</v>
      </c>
    </row>
    <row r="16" spans="1:10" hidden="1" x14ac:dyDescent="0.2">
      <c r="A16" s="270" t="s">
        <v>39</v>
      </c>
      <c r="B16" s="271" t="s">
        <v>40</v>
      </c>
      <c r="C16" s="87" t="s">
        <v>22</v>
      </c>
      <c r="D16" s="87" t="s">
        <v>38</v>
      </c>
      <c r="E16" s="101">
        <f>24.5*1.055</f>
        <v>25.8475</v>
      </c>
      <c r="F16" s="21">
        <f>23.63*1.055</f>
        <v>24.929649999999999</v>
      </c>
      <c r="G16" s="21">
        <f>23.63*1.055</f>
        <v>24.929649999999999</v>
      </c>
      <c r="H16" s="21"/>
      <c r="I16" s="21"/>
      <c r="J16" s="87" t="s">
        <v>15</v>
      </c>
    </row>
    <row r="17" spans="1:10" ht="25.5" hidden="1" x14ac:dyDescent="0.2">
      <c r="A17" s="270"/>
      <c r="B17" s="271"/>
      <c r="C17" s="87" t="s">
        <v>22</v>
      </c>
      <c r="D17" s="87" t="s">
        <v>41</v>
      </c>
      <c r="E17" s="101">
        <f>10.4*1.055</f>
        <v>10.972</v>
      </c>
      <c r="F17" s="21">
        <f>10.4*1.055</f>
        <v>10.972</v>
      </c>
      <c r="G17" s="21">
        <f>10.4*1.055</f>
        <v>10.972</v>
      </c>
      <c r="H17" s="21"/>
      <c r="I17" s="21"/>
      <c r="J17" s="87" t="s">
        <v>15</v>
      </c>
    </row>
    <row r="18" spans="1:10" hidden="1" x14ac:dyDescent="0.2">
      <c r="A18" s="270" t="s">
        <v>42</v>
      </c>
      <c r="B18" s="271" t="s">
        <v>43</v>
      </c>
      <c r="C18" s="87" t="s">
        <v>22</v>
      </c>
      <c r="D18" s="87" t="s">
        <v>38</v>
      </c>
      <c r="E18" s="101">
        <f>24.5*1.055</f>
        <v>25.8475</v>
      </c>
      <c r="F18" s="21">
        <f>23.74*$J$10</f>
        <v>0</v>
      </c>
      <c r="G18" s="21">
        <f>23.63*1.055</f>
        <v>24.929649999999999</v>
      </c>
      <c r="H18" s="21"/>
      <c r="I18" s="21"/>
      <c r="J18" s="87" t="s">
        <v>15</v>
      </c>
    </row>
    <row r="19" spans="1:10" ht="25.5" hidden="1" x14ac:dyDescent="0.2">
      <c r="A19" s="270"/>
      <c r="B19" s="271"/>
      <c r="C19" s="87" t="s">
        <v>22</v>
      </c>
      <c r="D19" s="87" t="s">
        <v>41</v>
      </c>
      <c r="E19" s="101">
        <f>10.4*1.055</f>
        <v>10.972</v>
      </c>
      <c r="F19" s="101">
        <f>10.4*1.055</f>
        <v>10.972</v>
      </c>
      <c r="G19" s="21">
        <f>10.4*1.055</f>
        <v>10.972</v>
      </c>
      <c r="H19" s="21" t="s">
        <v>21</v>
      </c>
      <c r="I19" s="21"/>
      <c r="J19" s="87" t="s">
        <v>15</v>
      </c>
    </row>
    <row r="20" spans="1:10" hidden="1" x14ac:dyDescent="0.2">
      <c r="A20" s="270"/>
      <c r="B20" s="271"/>
      <c r="C20" s="87" t="s">
        <v>37</v>
      </c>
      <c r="D20" s="87" t="s">
        <v>44</v>
      </c>
      <c r="E20" s="101">
        <f>19*1.055</f>
        <v>20.044999999999998</v>
      </c>
      <c r="F20" s="21">
        <f>25.85*J10</f>
        <v>0</v>
      </c>
      <c r="G20" s="21">
        <f>19.95*1.055</f>
        <v>21.047249999999998</v>
      </c>
      <c r="H20" s="21"/>
      <c r="I20" s="21"/>
      <c r="J20" s="87" t="s">
        <v>15</v>
      </c>
    </row>
    <row r="21" spans="1:10" ht="25.5" hidden="1" x14ac:dyDescent="0.2">
      <c r="A21" s="85" t="s">
        <v>45</v>
      </c>
      <c r="B21" s="105" t="s">
        <v>46</v>
      </c>
      <c r="C21" s="87" t="s">
        <v>22</v>
      </c>
      <c r="D21" s="87" t="s">
        <v>26</v>
      </c>
      <c r="E21" s="130">
        <f>24.5*1.055</f>
        <v>25.8475</v>
      </c>
      <c r="F21" s="21"/>
      <c r="G21" s="21"/>
      <c r="H21" s="21"/>
      <c r="I21" s="21"/>
      <c r="J21" s="87" t="s">
        <v>15</v>
      </c>
    </row>
    <row r="22" spans="1:10" hidden="1" x14ac:dyDescent="0.2">
      <c r="A22" s="25" t="s">
        <v>16</v>
      </c>
      <c r="B22" s="266" t="s">
        <v>17</v>
      </c>
      <c r="C22" s="266"/>
      <c r="D22" s="266"/>
      <c r="E22" s="266"/>
      <c r="F22" s="266"/>
      <c r="G22" s="266"/>
      <c r="H22" s="266"/>
      <c r="I22" s="266"/>
      <c r="J22" s="266"/>
    </row>
    <row r="23" spans="1:10" hidden="1" x14ac:dyDescent="0.2">
      <c r="A23" s="270" t="s">
        <v>18</v>
      </c>
      <c r="B23" s="271" t="s">
        <v>19</v>
      </c>
      <c r="C23" s="87" t="s">
        <v>22</v>
      </c>
      <c r="D23" s="87" t="s">
        <v>47</v>
      </c>
      <c r="E23" s="101">
        <f>22.5*1.055</f>
        <v>23.737499999999997</v>
      </c>
      <c r="F23" s="21"/>
      <c r="G23" s="21"/>
      <c r="H23" s="21"/>
      <c r="I23" s="21"/>
      <c r="J23" s="273" t="s">
        <v>15</v>
      </c>
    </row>
    <row r="24" spans="1:10" ht="25.5" hidden="1" x14ac:dyDescent="0.2">
      <c r="A24" s="270"/>
      <c r="B24" s="271"/>
      <c r="C24" s="87" t="s">
        <v>22</v>
      </c>
      <c r="D24" s="87" t="s">
        <v>48</v>
      </c>
      <c r="E24" s="101">
        <f>10.4*1.055</f>
        <v>10.972</v>
      </c>
      <c r="F24" s="21"/>
      <c r="G24" s="21"/>
      <c r="H24" s="21"/>
      <c r="I24" s="21"/>
      <c r="J24" s="273"/>
    </row>
    <row r="25" spans="1:10" ht="38.25" hidden="1" x14ac:dyDescent="0.2">
      <c r="A25" s="85" t="s">
        <v>24</v>
      </c>
      <c r="B25" s="105" t="s">
        <v>25</v>
      </c>
      <c r="C25" s="87" t="s">
        <v>22</v>
      </c>
      <c r="D25" s="87" t="s">
        <v>49</v>
      </c>
      <c r="E25" s="130">
        <f>24.5*1.055</f>
        <v>25.8475</v>
      </c>
      <c r="F25" s="21" t="s">
        <v>21</v>
      </c>
      <c r="G25" s="21" t="s">
        <v>21</v>
      </c>
      <c r="H25" s="21"/>
      <c r="I25" s="21"/>
      <c r="J25" s="87" t="s">
        <v>15</v>
      </c>
    </row>
    <row r="26" spans="1:10" hidden="1" x14ac:dyDescent="0.2">
      <c r="A26" s="270" t="s">
        <v>27</v>
      </c>
      <c r="B26" s="323" t="s">
        <v>28</v>
      </c>
      <c r="C26" s="87" t="s">
        <v>22</v>
      </c>
      <c r="D26" s="87" t="s">
        <v>49</v>
      </c>
      <c r="E26" s="101">
        <f>24.5*1.055</f>
        <v>25.8475</v>
      </c>
      <c r="G26" s="21"/>
      <c r="H26" s="21"/>
      <c r="I26" s="21"/>
      <c r="J26" s="273" t="s">
        <v>15</v>
      </c>
    </row>
    <row r="27" spans="1:10" ht="25.5" hidden="1" x14ac:dyDescent="0.2">
      <c r="A27" s="270"/>
      <c r="B27" s="323"/>
      <c r="C27" s="87" t="s">
        <v>22</v>
      </c>
      <c r="D27" s="87" t="s">
        <v>50</v>
      </c>
      <c r="E27" s="101">
        <f>10.4*1.055</f>
        <v>10.972</v>
      </c>
      <c r="F27" s="21"/>
      <c r="G27" s="21"/>
      <c r="H27" s="21"/>
      <c r="I27" s="21"/>
      <c r="J27" s="273"/>
    </row>
    <row r="28" spans="1:10" hidden="1" x14ac:dyDescent="0.2">
      <c r="A28" s="270"/>
      <c r="B28" s="323"/>
      <c r="C28" s="87" t="s">
        <v>37</v>
      </c>
      <c r="D28" s="87" t="s">
        <v>26</v>
      </c>
      <c r="E28" s="101">
        <f>19*1.055</f>
        <v>20.044999999999998</v>
      </c>
      <c r="F28" s="21"/>
      <c r="G28" s="21">
        <f>1.055*19.95</f>
        <v>21.047249999999998</v>
      </c>
      <c r="H28" s="21"/>
      <c r="I28" s="21"/>
      <c r="J28" s="273"/>
    </row>
    <row r="29" spans="1:10" hidden="1" x14ac:dyDescent="0.2">
      <c r="A29" s="270" t="s">
        <v>31</v>
      </c>
      <c r="B29" s="271" t="s">
        <v>32</v>
      </c>
      <c r="C29" s="87" t="s">
        <v>22</v>
      </c>
      <c r="D29" s="87" t="s">
        <v>49</v>
      </c>
      <c r="E29" s="101">
        <f>24.5*1.055</f>
        <v>25.8475</v>
      </c>
      <c r="F29" s="21"/>
      <c r="G29" s="21"/>
      <c r="H29" s="21"/>
      <c r="I29" s="26"/>
      <c r="J29" s="273" t="s">
        <v>15</v>
      </c>
    </row>
    <row r="30" spans="1:10" ht="25.5" hidden="1" x14ac:dyDescent="0.2">
      <c r="A30" s="270"/>
      <c r="B30" s="271"/>
      <c r="C30" s="87" t="s">
        <v>22</v>
      </c>
      <c r="D30" s="87" t="s">
        <v>50</v>
      </c>
      <c r="E30" s="101">
        <f>10.4*1.055</f>
        <v>10.972</v>
      </c>
      <c r="F30" s="21"/>
      <c r="G30" s="21"/>
      <c r="H30" s="21"/>
      <c r="I30" s="26"/>
      <c r="J30" s="273"/>
    </row>
    <row r="31" spans="1:10" hidden="1" x14ac:dyDescent="0.2">
      <c r="A31" s="270" t="s">
        <v>33</v>
      </c>
      <c r="B31" s="271" t="s">
        <v>34</v>
      </c>
      <c r="C31" s="87" t="s">
        <v>22</v>
      </c>
      <c r="D31" s="87" t="s">
        <v>49</v>
      </c>
      <c r="E31" s="101">
        <f>24.5*1.055</f>
        <v>25.8475</v>
      </c>
      <c r="F31" s="21"/>
      <c r="G31" s="21"/>
      <c r="H31" s="21"/>
      <c r="I31" s="26"/>
      <c r="J31" s="87" t="s">
        <v>15</v>
      </c>
    </row>
    <row r="32" spans="1:10" ht="36.75" hidden="1" customHeight="1" x14ac:dyDescent="0.2">
      <c r="A32" s="270"/>
      <c r="B32" s="271"/>
      <c r="C32" s="87" t="s">
        <v>37</v>
      </c>
      <c r="D32" s="87" t="s">
        <v>26</v>
      </c>
      <c r="E32" s="101">
        <f>19*1.055</f>
        <v>20.044999999999998</v>
      </c>
      <c r="F32" s="21"/>
      <c r="G32" s="21"/>
      <c r="H32" s="26"/>
      <c r="I32" s="21"/>
      <c r="J32" s="87"/>
    </row>
    <row r="33" spans="1:10" hidden="1" x14ac:dyDescent="0.2">
      <c r="A33" s="85" t="s">
        <v>35</v>
      </c>
      <c r="B33" s="105" t="s">
        <v>36</v>
      </c>
      <c r="C33" s="87" t="s">
        <v>37</v>
      </c>
      <c r="D33" s="87" t="s">
        <v>20</v>
      </c>
      <c r="E33" s="101">
        <f>19*1.055</f>
        <v>20.044999999999998</v>
      </c>
      <c r="F33" s="21"/>
      <c r="G33" s="21"/>
      <c r="H33" s="21"/>
      <c r="I33" s="26"/>
      <c r="J33" s="87" t="s">
        <v>15</v>
      </c>
    </row>
    <row r="34" spans="1:10" hidden="1" x14ac:dyDescent="0.2">
      <c r="A34" s="270" t="s">
        <v>39</v>
      </c>
      <c r="B34" s="271" t="s">
        <v>40</v>
      </c>
      <c r="C34" s="87" t="s">
        <v>22</v>
      </c>
      <c r="D34" s="87" t="s">
        <v>20</v>
      </c>
      <c r="E34" s="101">
        <f>24.5*1.055</f>
        <v>25.8475</v>
      </c>
      <c r="F34" s="21"/>
      <c r="G34" s="21"/>
      <c r="H34" s="21"/>
      <c r="I34" s="26"/>
      <c r="J34" s="87" t="s">
        <v>15</v>
      </c>
    </row>
    <row r="35" spans="1:10" ht="25.5" hidden="1" x14ac:dyDescent="0.2">
      <c r="A35" s="270"/>
      <c r="B35" s="271"/>
      <c r="C35" s="87" t="s">
        <v>22</v>
      </c>
      <c r="D35" s="87" t="s">
        <v>23</v>
      </c>
      <c r="E35" s="101">
        <f>10.4*1.055</f>
        <v>10.972</v>
      </c>
      <c r="F35" s="21"/>
      <c r="G35" s="21"/>
      <c r="H35" s="21"/>
      <c r="I35" s="26"/>
      <c r="J35" s="87" t="s">
        <v>15</v>
      </c>
    </row>
    <row r="36" spans="1:10" hidden="1" x14ac:dyDescent="0.2">
      <c r="A36" s="270" t="s">
        <v>42</v>
      </c>
      <c r="B36" s="271" t="s">
        <v>43</v>
      </c>
      <c r="C36" s="87" t="s">
        <v>22</v>
      </c>
      <c r="D36" s="87" t="s">
        <v>20</v>
      </c>
      <c r="E36" s="101">
        <f>24.5*1.055</f>
        <v>25.8475</v>
      </c>
      <c r="F36" s="21"/>
      <c r="G36" s="21"/>
      <c r="H36" s="21"/>
      <c r="I36" s="26"/>
      <c r="J36" s="87" t="s">
        <v>15</v>
      </c>
    </row>
    <row r="37" spans="1:10" ht="25.5" hidden="1" x14ac:dyDescent="0.2">
      <c r="A37" s="270"/>
      <c r="B37" s="271"/>
      <c r="C37" s="87" t="s">
        <v>22</v>
      </c>
      <c r="D37" s="87" t="s">
        <v>23</v>
      </c>
      <c r="E37" s="101">
        <f>10.4*1.055</f>
        <v>10.972</v>
      </c>
      <c r="F37" s="21"/>
      <c r="G37" s="21"/>
      <c r="H37" s="26"/>
      <c r="I37" s="26"/>
      <c r="J37" s="87" t="s">
        <v>15</v>
      </c>
    </row>
    <row r="38" spans="1:10" ht="15.75" hidden="1" customHeight="1" x14ac:dyDescent="0.2">
      <c r="A38" s="270"/>
      <c r="B38" s="271"/>
      <c r="C38" s="87" t="s">
        <v>37</v>
      </c>
      <c r="D38" s="87" t="s">
        <v>38</v>
      </c>
      <c r="E38" s="101">
        <f>19*1.055</f>
        <v>20.044999999999998</v>
      </c>
      <c r="F38" s="21"/>
      <c r="G38" s="21">
        <f>19.95*1.055</f>
        <v>21.047249999999998</v>
      </c>
      <c r="H38" s="26"/>
      <c r="I38" s="26"/>
      <c r="J38" s="87" t="s">
        <v>15</v>
      </c>
    </row>
    <row r="39" spans="1:10" ht="107.25" hidden="1" customHeight="1" x14ac:dyDescent="0.2">
      <c r="A39" s="267" t="s">
        <v>1</v>
      </c>
      <c r="B39" s="267"/>
      <c r="C39" s="84" t="s">
        <v>2</v>
      </c>
      <c r="D39" s="84" t="s">
        <v>3</v>
      </c>
      <c r="E39" s="267" t="s">
        <v>4</v>
      </c>
      <c r="F39" s="267"/>
      <c r="G39" s="267"/>
      <c r="H39" s="267"/>
      <c r="I39" s="267"/>
      <c r="J39" s="84" t="s">
        <v>5</v>
      </c>
    </row>
    <row r="40" spans="1:10" hidden="1" x14ac:dyDescent="0.2">
      <c r="A40" s="28" t="s">
        <v>161</v>
      </c>
      <c r="B40" s="266" t="s">
        <v>163</v>
      </c>
      <c r="C40" s="266"/>
      <c r="D40" s="266"/>
      <c r="E40" s="266"/>
      <c r="F40" s="266"/>
      <c r="G40" s="266"/>
      <c r="H40" s="266"/>
      <c r="I40" s="266"/>
      <c r="J40" s="266"/>
    </row>
    <row r="41" spans="1:10" hidden="1" x14ac:dyDescent="0.2">
      <c r="A41" s="29" t="s">
        <v>162</v>
      </c>
      <c r="B41" s="265" t="s">
        <v>62</v>
      </c>
      <c r="C41" s="265"/>
      <c r="D41" s="265"/>
      <c r="E41" s="265"/>
      <c r="F41" s="265"/>
      <c r="G41" s="265"/>
      <c r="H41" s="265"/>
      <c r="I41" s="265"/>
      <c r="J41" s="265"/>
    </row>
    <row r="42" spans="1:10" ht="45" hidden="1" customHeight="1" x14ac:dyDescent="0.2">
      <c r="A42" s="85" t="s">
        <v>63</v>
      </c>
      <c r="B42" s="86" t="s">
        <v>64</v>
      </c>
      <c r="C42" s="90" t="s">
        <v>53</v>
      </c>
      <c r="D42" s="90" t="s">
        <v>65</v>
      </c>
      <c r="E42" s="91">
        <f>37*1.055</f>
        <v>39.034999999999997</v>
      </c>
      <c r="F42" s="89">
        <f>32.55*1.055</f>
        <v>34.340249999999997</v>
      </c>
      <c r="G42" s="89">
        <f>32.55*1.055</f>
        <v>34.340249999999997</v>
      </c>
      <c r="H42" s="89"/>
      <c r="I42" s="89"/>
      <c r="J42" s="90" t="s">
        <v>66</v>
      </c>
    </row>
    <row r="43" spans="1:10" ht="21" hidden="1" customHeight="1" x14ac:dyDescent="0.2">
      <c r="A43" s="285" t="s">
        <v>67</v>
      </c>
      <c r="B43" s="262" t="s">
        <v>68</v>
      </c>
      <c r="C43" s="269" t="s">
        <v>53</v>
      </c>
      <c r="D43" s="90" t="s">
        <v>65</v>
      </c>
      <c r="E43" s="91">
        <f>53*1.055</f>
        <v>55.914999999999999</v>
      </c>
      <c r="F43" s="89">
        <f>52.5*1.055</f>
        <v>55.387499999999996</v>
      </c>
      <c r="G43" s="89">
        <f>52.5*1.055</f>
        <v>55.387499999999996</v>
      </c>
      <c r="H43" s="89"/>
      <c r="I43" s="89"/>
      <c r="J43" s="90" t="s">
        <v>66</v>
      </c>
    </row>
    <row r="44" spans="1:10" hidden="1" x14ac:dyDescent="0.2">
      <c r="A44" s="286"/>
      <c r="B44" s="288"/>
      <c r="C44" s="269"/>
      <c r="D44" s="100" t="s">
        <v>69</v>
      </c>
      <c r="E44" s="294"/>
      <c r="F44" s="324">
        <f>52.5*1.055</f>
        <v>55.387499999999996</v>
      </c>
      <c r="G44" s="276"/>
      <c r="H44" s="275"/>
      <c r="I44" s="275"/>
      <c r="J44" s="269" t="s">
        <v>70</v>
      </c>
    </row>
    <row r="45" spans="1:10" ht="75.75" hidden="1" customHeight="1" x14ac:dyDescent="0.2">
      <c r="A45" s="286"/>
      <c r="B45" s="288"/>
      <c r="C45" s="269"/>
      <c r="D45" s="100" t="s">
        <v>71</v>
      </c>
      <c r="E45" s="294"/>
      <c r="F45" s="324"/>
      <c r="G45" s="276"/>
      <c r="H45" s="275"/>
      <c r="I45" s="275"/>
      <c r="J45" s="269"/>
    </row>
    <row r="46" spans="1:10" ht="75.75" hidden="1" customHeight="1" x14ac:dyDescent="0.2">
      <c r="A46" s="287"/>
      <c r="B46" s="263"/>
      <c r="C46" s="90" t="s">
        <v>37</v>
      </c>
      <c r="D46" s="100" t="s">
        <v>79</v>
      </c>
      <c r="E46" s="98">
        <f>30*1.055</f>
        <v>31.65</v>
      </c>
      <c r="F46" s="101"/>
      <c r="G46" s="89"/>
      <c r="H46" s="88"/>
      <c r="I46" s="88"/>
      <c r="J46" s="90"/>
    </row>
    <row r="47" spans="1:10" ht="70.5" hidden="1" customHeight="1" x14ac:dyDescent="0.2">
      <c r="A47" s="270" t="s">
        <v>72</v>
      </c>
      <c r="B47" s="86" t="s">
        <v>73</v>
      </c>
      <c r="C47" s="90" t="s">
        <v>53</v>
      </c>
      <c r="D47" s="90" t="s">
        <v>65</v>
      </c>
      <c r="E47" s="91">
        <f>56*1.055</f>
        <v>59.08</v>
      </c>
      <c r="F47" s="89">
        <f>57.75*1.055</f>
        <v>60.926249999999996</v>
      </c>
      <c r="G47" s="89">
        <f>57.75*1.055</f>
        <v>60.926249999999996</v>
      </c>
      <c r="H47" s="89"/>
      <c r="I47" s="89"/>
      <c r="J47" s="90" t="s">
        <v>70</v>
      </c>
    </row>
    <row r="48" spans="1:10" ht="63" hidden="1" customHeight="1" x14ac:dyDescent="0.2">
      <c r="A48" s="270"/>
      <c r="B48" s="272" t="s">
        <v>74</v>
      </c>
      <c r="C48" s="269" t="s">
        <v>53</v>
      </c>
      <c r="D48" s="100" t="s">
        <v>69</v>
      </c>
      <c r="E48" s="294"/>
      <c r="F48" s="324">
        <f>57.75*1.055</f>
        <v>60.926249999999996</v>
      </c>
      <c r="G48" s="276">
        <f>45.15*1.055</f>
        <v>47.633249999999997</v>
      </c>
      <c r="H48" s="275"/>
      <c r="I48" s="275"/>
      <c r="J48" s="269" t="s">
        <v>70</v>
      </c>
    </row>
    <row r="49" spans="1:10" ht="25.5" hidden="1" x14ac:dyDescent="0.2">
      <c r="A49" s="270"/>
      <c r="B49" s="272"/>
      <c r="C49" s="269"/>
      <c r="D49" s="100" t="s">
        <v>71</v>
      </c>
      <c r="E49" s="294"/>
      <c r="F49" s="324"/>
      <c r="G49" s="276"/>
      <c r="H49" s="275"/>
      <c r="I49" s="275"/>
      <c r="J49" s="269"/>
    </row>
    <row r="50" spans="1:10" hidden="1" x14ac:dyDescent="0.2">
      <c r="A50" s="285" t="s">
        <v>75</v>
      </c>
      <c r="B50" s="262" t="s">
        <v>76</v>
      </c>
      <c r="C50" s="90" t="s">
        <v>53</v>
      </c>
      <c r="D50" s="90" t="s">
        <v>65</v>
      </c>
      <c r="E50" s="91">
        <f>55*1.055</f>
        <v>58.024999999999999</v>
      </c>
      <c r="F50" s="89">
        <f>52.5*1.055</f>
        <v>55.387499999999996</v>
      </c>
      <c r="G50" s="89">
        <f>52.5*1.055</f>
        <v>55.387499999999996</v>
      </c>
      <c r="H50" s="89"/>
      <c r="I50" s="89"/>
      <c r="J50" s="269" t="s">
        <v>77</v>
      </c>
    </row>
    <row r="51" spans="1:10" ht="15.75" hidden="1" customHeight="1" x14ac:dyDescent="0.2">
      <c r="A51" s="286"/>
      <c r="B51" s="288"/>
      <c r="C51" s="262" t="s">
        <v>78</v>
      </c>
      <c r="D51" s="90" t="s">
        <v>79</v>
      </c>
      <c r="E51" s="91">
        <f>30*1.055</f>
        <v>31.65</v>
      </c>
      <c r="F51" s="89">
        <f>28.35*1.055</f>
        <v>29.90925</v>
      </c>
      <c r="G51" s="89">
        <f>28.35*1.055</f>
        <v>29.90925</v>
      </c>
      <c r="H51" s="89"/>
      <c r="I51" s="89"/>
      <c r="J51" s="269"/>
    </row>
    <row r="52" spans="1:10" ht="38.25" hidden="1" x14ac:dyDescent="0.2">
      <c r="A52" s="286"/>
      <c r="B52" s="288"/>
      <c r="C52" s="288"/>
      <c r="D52" s="34" t="s">
        <v>80</v>
      </c>
      <c r="E52" s="98"/>
      <c r="F52" s="89">
        <f t="shared" ref="F52:G54" si="1">31.5*1.055</f>
        <v>33.232499999999995</v>
      </c>
      <c r="G52" s="89">
        <f t="shared" si="1"/>
        <v>33.232499999999995</v>
      </c>
      <c r="H52" s="89"/>
      <c r="I52" s="88"/>
      <c r="J52" s="269"/>
    </row>
    <row r="53" spans="1:10" ht="38.25" hidden="1" x14ac:dyDescent="0.2">
      <c r="A53" s="286"/>
      <c r="B53" s="288"/>
      <c r="C53" s="263"/>
      <c r="D53" s="34" t="s">
        <v>187</v>
      </c>
      <c r="E53" s="93">
        <f>30*1.055</f>
        <v>31.65</v>
      </c>
      <c r="F53" s="89"/>
      <c r="G53" s="89"/>
      <c r="H53" s="89"/>
      <c r="I53" s="88"/>
      <c r="J53" s="269"/>
    </row>
    <row r="54" spans="1:10" hidden="1" x14ac:dyDescent="0.2">
      <c r="A54" s="286"/>
      <c r="B54" s="288"/>
      <c r="C54" s="279" t="s">
        <v>78</v>
      </c>
      <c r="D54" s="34" t="s">
        <v>69</v>
      </c>
      <c r="E54" s="282"/>
      <c r="F54" s="276">
        <f t="shared" si="1"/>
        <v>33.232499999999995</v>
      </c>
      <c r="G54" s="276"/>
      <c r="H54" s="276"/>
      <c r="I54" s="275"/>
      <c r="J54" s="269"/>
    </row>
    <row r="55" spans="1:10" ht="27.75" hidden="1" customHeight="1" x14ac:dyDescent="0.2">
      <c r="A55" s="286"/>
      <c r="B55" s="288"/>
      <c r="C55" s="279"/>
      <c r="D55" s="36" t="s">
        <v>81</v>
      </c>
      <c r="E55" s="282"/>
      <c r="F55" s="276"/>
      <c r="G55" s="276"/>
      <c r="H55" s="276"/>
      <c r="I55" s="275"/>
      <c r="J55" s="269"/>
    </row>
    <row r="56" spans="1:10" hidden="1" x14ac:dyDescent="0.2">
      <c r="A56" s="286"/>
      <c r="B56" s="288"/>
      <c r="C56" s="279"/>
      <c r="D56" s="107" t="s">
        <v>82</v>
      </c>
      <c r="E56" s="291"/>
      <c r="F56" s="276">
        <f>29.4*1.055</f>
        <v>31.016999999999996</v>
      </c>
      <c r="G56" s="276">
        <f>29.4*1.055</f>
        <v>31.016999999999996</v>
      </c>
      <c r="H56" s="276"/>
      <c r="I56" s="275"/>
      <c r="J56" s="269"/>
    </row>
    <row r="57" spans="1:10" ht="38.25" hidden="1" x14ac:dyDescent="0.2">
      <c r="A57" s="286"/>
      <c r="B57" s="288"/>
      <c r="C57" s="279"/>
      <c r="D57" s="38" t="s">
        <v>83</v>
      </c>
      <c r="E57" s="291"/>
      <c r="F57" s="276"/>
      <c r="G57" s="276"/>
      <c r="H57" s="276"/>
      <c r="I57" s="275"/>
      <c r="J57" s="269"/>
    </row>
    <row r="58" spans="1:10" ht="15" hidden="1" customHeight="1" x14ac:dyDescent="0.2">
      <c r="A58" s="286"/>
      <c r="B58" s="288"/>
      <c r="C58" s="269" t="s">
        <v>84</v>
      </c>
      <c r="D58" s="292" t="s">
        <v>85</v>
      </c>
      <c r="E58" s="294"/>
      <c r="F58" s="276"/>
      <c r="G58" s="276">
        <f>26.46*1.055</f>
        <v>27.915299999999998</v>
      </c>
      <c r="H58" s="276"/>
      <c r="I58" s="275"/>
      <c r="J58" s="269"/>
    </row>
    <row r="59" spans="1:10" ht="15" hidden="1" customHeight="1" x14ac:dyDescent="0.2">
      <c r="A59" s="286"/>
      <c r="B59" s="288"/>
      <c r="C59" s="269"/>
      <c r="D59" s="293"/>
      <c r="E59" s="294"/>
      <c r="F59" s="276"/>
      <c r="G59" s="276"/>
      <c r="H59" s="276"/>
      <c r="I59" s="275"/>
      <c r="J59" s="269"/>
    </row>
    <row r="60" spans="1:10" ht="23.25" hidden="1" customHeight="1" x14ac:dyDescent="0.2">
      <c r="A60" s="286"/>
      <c r="B60" s="288"/>
      <c r="C60" s="90" t="s">
        <v>55</v>
      </c>
      <c r="D60" s="90" t="s">
        <v>79</v>
      </c>
      <c r="E60" s="91">
        <f>30*1.055</f>
        <v>31.65</v>
      </c>
      <c r="F60" s="89">
        <f>27.3*1.055</f>
        <v>28.801500000000001</v>
      </c>
      <c r="G60" s="89">
        <f>27.3*1.055</f>
        <v>28.801500000000001</v>
      </c>
      <c r="H60" s="89"/>
      <c r="I60" s="89"/>
      <c r="J60" s="90" t="s">
        <v>86</v>
      </c>
    </row>
    <row r="61" spans="1:10" ht="78.75" hidden="1" customHeight="1" x14ac:dyDescent="0.2">
      <c r="A61" s="287"/>
      <c r="B61" s="263"/>
      <c r="C61" s="90" t="s">
        <v>186</v>
      </c>
      <c r="D61" s="90" t="s">
        <v>65</v>
      </c>
      <c r="E61" s="91">
        <f>36*1.055</f>
        <v>37.979999999999997</v>
      </c>
      <c r="F61" s="89"/>
      <c r="G61" s="89"/>
      <c r="H61" s="89"/>
      <c r="I61" s="89"/>
      <c r="J61" s="90"/>
    </row>
    <row r="62" spans="1:10" ht="36.75" hidden="1" customHeight="1" x14ac:dyDescent="0.2">
      <c r="A62" s="85" t="s">
        <v>87</v>
      </c>
      <c r="B62" s="86" t="s">
        <v>88</v>
      </c>
      <c r="C62" s="90" t="s">
        <v>53</v>
      </c>
      <c r="D62" s="90" t="s">
        <v>65</v>
      </c>
      <c r="E62" s="91">
        <f>63*1.055</f>
        <v>66.464999999999989</v>
      </c>
      <c r="F62" s="89">
        <f>52.5*1.055</f>
        <v>55.387499999999996</v>
      </c>
      <c r="G62" s="89">
        <f>52.5*1.055</f>
        <v>55.387499999999996</v>
      </c>
      <c r="H62" s="89"/>
      <c r="I62" s="89"/>
      <c r="J62" s="90" t="s">
        <v>77</v>
      </c>
    </row>
    <row r="63" spans="1:10" ht="25.5" hidden="1" x14ac:dyDescent="0.2">
      <c r="A63" s="85" t="s">
        <v>89</v>
      </c>
      <c r="B63" s="86" t="s">
        <v>90</v>
      </c>
      <c r="C63" s="90" t="s">
        <v>53</v>
      </c>
      <c r="D63" s="90" t="s">
        <v>65</v>
      </c>
      <c r="E63" s="91">
        <f>63*1.055</f>
        <v>66.464999999999989</v>
      </c>
      <c r="F63" s="89">
        <f>57.75*1.055</f>
        <v>60.926249999999996</v>
      </c>
      <c r="G63" s="20">
        <f>32.55*1.055</f>
        <v>34.340249999999997</v>
      </c>
      <c r="H63" s="89"/>
      <c r="I63" s="89"/>
      <c r="J63" s="87" t="s">
        <v>91</v>
      </c>
    </row>
    <row r="64" spans="1:10" ht="37.5" hidden="1" customHeight="1" x14ac:dyDescent="0.2">
      <c r="A64" s="85" t="s">
        <v>92</v>
      </c>
      <c r="B64" s="86" t="s">
        <v>93</v>
      </c>
      <c r="C64" s="90" t="s">
        <v>53</v>
      </c>
      <c r="D64" s="90" t="s">
        <v>65</v>
      </c>
      <c r="E64" s="91">
        <f>45*1.055</f>
        <v>47.474999999999994</v>
      </c>
      <c r="F64" s="89">
        <f>47.25*1.055</f>
        <v>49.848749999999995</v>
      </c>
      <c r="G64" s="89">
        <f>32.55*1.055</f>
        <v>34.340249999999997</v>
      </c>
      <c r="H64" s="89"/>
      <c r="I64" s="89"/>
      <c r="J64" s="87" t="s">
        <v>91</v>
      </c>
    </row>
    <row r="65" spans="1:10" ht="36" hidden="1" customHeight="1" x14ac:dyDescent="0.2">
      <c r="A65" s="85" t="s">
        <v>94</v>
      </c>
      <c r="B65" s="86" t="s">
        <v>95</v>
      </c>
      <c r="C65" s="90" t="s">
        <v>53</v>
      </c>
      <c r="D65" s="90" t="s">
        <v>65</v>
      </c>
      <c r="E65" s="91">
        <f>42*1.055</f>
        <v>44.309999999999995</v>
      </c>
      <c r="F65" s="89">
        <f>32.55*1.055</f>
        <v>34.340249999999997</v>
      </c>
      <c r="G65" s="89">
        <f>32.55*1.055</f>
        <v>34.340249999999997</v>
      </c>
      <c r="H65" s="89"/>
      <c r="I65" s="89"/>
      <c r="J65" s="87" t="s">
        <v>91</v>
      </c>
    </row>
    <row r="66" spans="1:10" ht="25.5" hidden="1" x14ac:dyDescent="0.2">
      <c r="A66" s="85" t="s">
        <v>96</v>
      </c>
      <c r="B66" s="86" t="s">
        <v>97</v>
      </c>
      <c r="C66" s="90" t="s">
        <v>53</v>
      </c>
      <c r="D66" s="90" t="s">
        <v>65</v>
      </c>
      <c r="E66" s="91">
        <f>42*1.055</f>
        <v>44.309999999999995</v>
      </c>
      <c r="F66" s="89">
        <f>57.75*1.055</f>
        <v>60.926249999999996</v>
      </c>
      <c r="G66" s="20">
        <f>33.6*1.055</f>
        <v>35.448</v>
      </c>
      <c r="H66" s="89"/>
      <c r="I66" s="89"/>
      <c r="J66" s="87" t="s">
        <v>98</v>
      </c>
    </row>
    <row r="67" spans="1:10" hidden="1" x14ac:dyDescent="0.2">
      <c r="A67" s="270" t="s">
        <v>99</v>
      </c>
      <c r="B67" s="272" t="s">
        <v>100</v>
      </c>
      <c r="C67" s="90" t="s">
        <v>53</v>
      </c>
      <c r="D67" s="90" t="s">
        <v>65</v>
      </c>
      <c r="E67" s="91">
        <f>58*1.055</f>
        <v>61.19</v>
      </c>
      <c r="F67" s="89">
        <f>57.75*1.055</f>
        <v>60.926249999999996</v>
      </c>
      <c r="G67" s="89">
        <f>31.5*1.055</f>
        <v>33.232499999999995</v>
      </c>
      <c r="H67" s="89"/>
      <c r="I67" s="89"/>
      <c r="J67" s="273" t="s">
        <v>101</v>
      </c>
    </row>
    <row r="68" spans="1:10" hidden="1" x14ac:dyDescent="0.2">
      <c r="A68" s="270"/>
      <c r="B68" s="272"/>
      <c r="C68" s="269" t="s">
        <v>53</v>
      </c>
      <c r="D68" s="100" t="s">
        <v>102</v>
      </c>
      <c r="E68" s="294"/>
      <c r="F68" s="276">
        <f t="shared" ref="F68:G71" si="2">57.75*1.055</f>
        <v>60.926249999999996</v>
      </c>
      <c r="G68" s="276"/>
      <c r="H68" s="276"/>
      <c r="I68" s="275"/>
      <c r="J68" s="273"/>
    </row>
    <row r="69" spans="1:10" ht="41.25" hidden="1" customHeight="1" x14ac:dyDescent="0.2">
      <c r="A69" s="270"/>
      <c r="B69" s="272"/>
      <c r="C69" s="269"/>
      <c r="D69" s="100" t="s">
        <v>71</v>
      </c>
      <c r="E69" s="294"/>
      <c r="F69" s="276">
        <f t="shared" si="2"/>
        <v>60.926249999999996</v>
      </c>
      <c r="G69" s="276"/>
      <c r="H69" s="276"/>
      <c r="I69" s="275"/>
      <c r="J69" s="273"/>
    </row>
    <row r="70" spans="1:10" ht="44.25" hidden="1" customHeight="1" x14ac:dyDescent="0.2">
      <c r="A70" s="85" t="s">
        <v>103</v>
      </c>
      <c r="B70" s="86" t="s">
        <v>188</v>
      </c>
      <c r="C70" s="90" t="s">
        <v>53</v>
      </c>
      <c r="D70" s="90" t="s">
        <v>65</v>
      </c>
      <c r="E70" s="91">
        <f>63*1.055</f>
        <v>66.464999999999989</v>
      </c>
      <c r="F70" s="89">
        <f t="shared" si="2"/>
        <v>60.926249999999996</v>
      </c>
      <c r="G70" s="89">
        <f t="shared" si="2"/>
        <v>60.926249999999996</v>
      </c>
      <c r="H70" s="89"/>
      <c r="I70" s="89"/>
      <c r="J70" s="87" t="s">
        <v>98</v>
      </c>
    </row>
    <row r="71" spans="1:10" hidden="1" x14ac:dyDescent="0.2">
      <c r="A71" s="270" t="s">
        <v>104</v>
      </c>
      <c r="B71" s="272" t="s">
        <v>105</v>
      </c>
      <c r="C71" s="262" t="s">
        <v>189</v>
      </c>
      <c r="D71" s="95" t="s">
        <v>65</v>
      </c>
      <c r="E71" s="91">
        <f>63*1.055</f>
        <v>66.464999999999989</v>
      </c>
      <c r="F71" s="89">
        <f t="shared" si="2"/>
        <v>60.926249999999996</v>
      </c>
      <c r="G71" s="89">
        <f t="shared" si="2"/>
        <v>60.926249999999996</v>
      </c>
      <c r="H71" s="89"/>
      <c r="I71" s="89"/>
      <c r="J71" s="87" t="s">
        <v>106</v>
      </c>
    </row>
    <row r="72" spans="1:10" ht="15.75" hidden="1" customHeight="1" x14ac:dyDescent="0.2">
      <c r="A72" s="270"/>
      <c r="B72" s="272"/>
      <c r="C72" s="288"/>
      <c r="D72" s="95" t="s">
        <v>69</v>
      </c>
      <c r="E72" s="280">
        <v>66.464999999999989</v>
      </c>
      <c r="F72" s="289">
        <v>60.926249999999996</v>
      </c>
      <c r="G72" s="276">
        <f>47.25*1.055</f>
        <v>49.848749999999995</v>
      </c>
      <c r="H72" s="276"/>
      <c r="I72" s="275"/>
      <c r="J72" s="273" t="s">
        <v>91</v>
      </c>
    </row>
    <row r="73" spans="1:10" ht="25.5" hidden="1" x14ac:dyDescent="0.2">
      <c r="A73" s="270"/>
      <c r="B73" s="272"/>
      <c r="C73" s="263"/>
      <c r="D73" s="97" t="s">
        <v>190</v>
      </c>
      <c r="E73" s="280"/>
      <c r="F73" s="290"/>
      <c r="G73" s="276"/>
      <c r="H73" s="276"/>
      <c r="I73" s="275"/>
      <c r="J73" s="273"/>
    </row>
    <row r="74" spans="1:10" ht="51" hidden="1" x14ac:dyDescent="0.2">
      <c r="A74" s="270"/>
      <c r="B74" s="272"/>
      <c r="C74" s="97" t="s">
        <v>191</v>
      </c>
      <c r="D74" s="97" t="s">
        <v>65</v>
      </c>
      <c r="E74" s="92">
        <f>63*1.055</f>
        <v>66.464999999999989</v>
      </c>
      <c r="F74" s="94"/>
      <c r="G74" s="89"/>
      <c r="H74" s="89"/>
      <c r="I74" s="88"/>
      <c r="J74" s="87"/>
    </row>
    <row r="75" spans="1:10" hidden="1" x14ac:dyDescent="0.2">
      <c r="A75" s="270"/>
      <c r="B75" s="272"/>
      <c r="C75" s="326" t="s">
        <v>55</v>
      </c>
      <c r="D75" s="43" t="s">
        <v>79</v>
      </c>
      <c r="E75" s="101"/>
      <c r="F75" s="89">
        <f>27.3*1.055</f>
        <v>28.801500000000001</v>
      </c>
      <c r="G75" s="89">
        <f>27.3*1.055</f>
        <v>28.801500000000001</v>
      </c>
      <c r="H75" s="89">
        <f>27.3*1.055</f>
        <v>28.801500000000001</v>
      </c>
      <c r="I75" s="89"/>
      <c r="J75" s="273" t="s">
        <v>86</v>
      </c>
    </row>
    <row r="76" spans="1:10" hidden="1" x14ac:dyDescent="0.2">
      <c r="A76" s="270"/>
      <c r="B76" s="272"/>
      <c r="C76" s="327"/>
      <c r="D76" s="107" t="s">
        <v>107</v>
      </c>
      <c r="E76" s="291"/>
      <c r="F76" s="276">
        <f>35.7*1.055</f>
        <v>37.663499999999999</v>
      </c>
      <c r="G76" s="276">
        <f>35.7*1.055</f>
        <v>37.663499999999999</v>
      </c>
      <c r="H76" s="276">
        <f>35.7*1.055</f>
        <v>37.663499999999999</v>
      </c>
      <c r="I76" s="275"/>
      <c r="J76" s="273"/>
    </row>
    <row r="77" spans="1:10" ht="61.5" hidden="1" customHeight="1" x14ac:dyDescent="0.2">
      <c r="A77" s="270"/>
      <c r="B77" s="272"/>
      <c r="C77" s="327"/>
      <c r="D77" s="43" t="s">
        <v>81</v>
      </c>
      <c r="E77" s="291"/>
      <c r="F77" s="276"/>
      <c r="G77" s="276"/>
      <c r="H77" s="276"/>
      <c r="I77" s="275"/>
      <c r="J77" s="273"/>
    </row>
    <row r="78" spans="1:10" hidden="1" x14ac:dyDescent="0.2">
      <c r="A78" s="270"/>
      <c r="B78" s="272"/>
      <c r="C78" s="327"/>
      <c r="D78" s="107" t="s">
        <v>65</v>
      </c>
      <c r="E78" s="291"/>
      <c r="F78" s="276">
        <f>27.3*1.055</f>
        <v>28.801500000000001</v>
      </c>
      <c r="G78" s="276">
        <f>27.3*1.055</f>
        <v>28.801500000000001</v>
      </c>
      <c r="H78" s="276"/>
      <c r="I78" s="275"/>
      <c r="J78" s="273"/>
    </row>
    <row r="79" spans="1:10" ht="54" hidden="1" customHeight="1" x14ac:dyDescent="0.2">
      <c r="A79" s="270"/>
      <c r="B79" s="272"/>
      <c r="C79" s="328"/>
      <c r="D79" s="38" t="s">
        <v>108</v>
      </c>
      <c r="E79" s="291"/>
      <c r="F79" s="276"/>
      <c r="G79" s="276"/>
      <c r="H79" s="276"/>
      <c r="I79" s="275"/>
      <c r="J79" s="273"/>
    </row>
    <row r="80" spans="1:10" ht="63" hidden="1" customHeight="1" x14ac:dyDescent="0.2">
      <c r="A80" s="85" t="s">
        <v>109</v>
      </c>
      <c r="B80" s="86" t="s">
        <v>110</v>
      </c>
      <c r="C80" s="90" t="s">
        <v>53</v>
      </c>
      <c r="D80" s="97" t="s">
        <v>65</v>
      </c>
      <c r="E80" s="91">
        <f>63*1.055</f>
        <v>66.464999999999989</v>
      </c>
      <c r="F80" s="89">
        <f t="shared" ref="F80:G81" si="3">57.75*1.055</f>
        <v>60.926249999999996</v>
      </c>
      <c r="G80" s="89">
        <f t="shared" si="3"/>
        <v>60.926249999999996</v>
      </c>
      <c r="H80" s="89"/>
      <c r="I80" s="89"/>
      <c r="J80" s="87" t="s">
        <v>98</v>
      </c>
    </row>
    <row r="81" spans="1:10" hidden="1" x14ac:dyDescent="0.2">
      <c r="A81" s="270" t="s">
        <v>111</v>
      </c>
      <c r="B81" s="272" t="s">
        <v>112</v>
      </c>
      <c r="C81" s="90" t="s">
        <v>53</v>
      </c>
      <c r="D81" s="90" t="s">
        <v>65</v>
      </c>
      <c r="E81" s="91">
        <f>63*1.055</f>
        <v>66.464999999999989</v>
      </c>
      <c r="F81" s="89">
        <f t="shared" si="3"/>
        <v>60.926249999999996</v>
      </c>
      <c r="G81" s="89">
        <f t="shared" si="3"/>
        <v>60.926249999999996</v>
      </c>
      <c r="H81" s="89"/>
      <c r="I81" s="89"/>
      <c r="J81" s="273" t="s">
        <v>113</v>
      </c>
    </row>
    <row r="82" spans="1:10" hidden="1" x14ac:dyDescent="0.2">
      <c r="A82" s="270"/>
      <c r="B82" s="272"/>
      <c r="C82" s="269" t="s">
        <v>53</v>
      </c>
      <c r="D82" s="90" t="s">
        <v>69</v>
      </c>
      <c r="E82" s="278">
        <f>63*1.055</f>
        <v>66.464999999999989</v>
      </c>
      <c r="F82" s="276">
        <f>47.25*1.055</f>
        <v>49.848749999999995</v>
      </c>
      <c r="G82" s="276"/>
      <c r="H82" s="276"/>
      <c r="I82" s="275"/>
      <c r="J82" s="273"/>
    </row>
    <row r="83" spans="1:10" ht="45" hidden="1" customHeight="1" x14ac:dyDescent="0.2">
      <c r="A83" s="270"/>
      <c r="B83" s="272"/>
      <c r="C83" s="269"/>
      <c r="D83" s="97" t="s">
        <v>190</v>
      </c>
      <c r="E83" s="278"/>
      <c r="F83" s="276"/>
      <c r="G83" s="276"/>
      <c r="H83" s="276"/>
      <c r="I83" s="275"/>
      <c r="J83" s="273"/>
    </row>
    <row r="84" spans="1:10" ht="19.5" hidden="1" customHeight="1" x14ac:dyDescent="0.2">
      <c r="A84" s="270"/>
      <c r="B84" s="272"/>
      <c r="C84" s="90" t="s">
        <v>55</v>
      </c>
      <c r="D84" s="95" t="s">
        <v>79</v>
      </c>
      <c r="E84" s="91">
        <f>30*1.055</f>
        <v>31.65</v>
      </c>
      <c r="F84" s="89">
        <f>27.3*1.055</f>
        <v>28.801500000000001</v>
      </c>
      <c r="G84" s="89">
        <f>27.3*1.055</f>
        <v>28.801500000000001</v>
      </c>
      <c r="H84" s="89">
        <f>27.3*1.055</f>
        <v>28.801500000000001</v>
      </c>
      <c r="I84" s="89"/>
      <c r="J84" s="273" t="s">
        <v>86</v>
      </c>
    </row>
    <row r="85" spans="1:10" ht="15.75" hidden="1" customHeight="1" x14ac:dyDescent="0.2">
      <c r="A85" s="270"/>
      <c r="B85" s="272"/>
      <c r="C85" s="281" t="s">
        <v>55</v>
      </c>
      <c r="D85" s="34" t="s">
        <v>107</v>
      </c>
      <c r="E85" s="282"/>
      <c r="F85" s="276">
        <f>35.7*1.055</f>
        <v>37.663499999999999</v>
      </c>
      <c r="G85" s="276">
        <f>35.7*1.055</f>
        <v>37.663499999999999</v>
      </c>
      <c r="H85" s="276">
        <f>35.7*1.055</f>
        <v>37.663499999999999</v>
      </c>
      <c r="I85" s="276"/>
      <c r="J85" s="273"/>
    </row>
    <row r="86" spans="1:10" ht="30" hidden="1" customHeight="1" x14ac:dyDescent="0.2">
      <c r="A86" s="270"/>
      <c r="B86" s="272"/>
      <c r="C86" s="281"/>
      <c r="D86" s="99" t="s">
        <v>81</v>
      </c>
      <c r="E86" s="282"/>
      <c r="F86" s="276"/>
      <c r="G86" s="276"/>
      <c r="H86" s="276"/>
      <c r="I86" s="276"/>
      <c r="J86" s="273"/>
    </row>
    <row r="87" spans="1:10" ht="52.5" hidden="1" customHeight="1" x14ac:dyDescent="0.2">
      <c r="A87" s="85" t="s">
        <v>114</v>
      </c>
      <c r="B87" s="86" t="s">
        <v>115</v>
      </c>
      <c r="C87" s="90" t="s">
        <v>53</v>
      </c>
      <c r="D87" s="97" t="s">
        <v>65</v>
      </c>
      <c r="E87" s="45">
        <f>63*1.055</f>
        <v>66.464999999999989</v>
      </c>
      <c r="F87" s="89">
        <f>32.55*1.055</f>
        <v>34.340249999999997</v>
      </c>
      <c r="G87" s="89">
        <f>32.55*1.055</f>
        <v>34.340249999999997</v>
      </c>
      <c r="H87" s="89"/>
      <c r="I87" s="89"/>
      <c r="J87" s="87" t="s">
        <v>98</v>
      </c>
    </row>
    <row r="88" spans="1:10" ht="25.5" hidden="1" x14ac:dyDescent="0.2">
      <c r="A88" s="85" t="s">
        <v>116</v>
      </c>
      <c r="B88" s="86" t="s">
        <v>117</v>
      </c>
      <c r="C88" s="90" t="s">
        <v>53</v>
      </c>
      <c r="D88" s="90" t="s">
        <v>65</v>
      </c>
      <c r="E88" s="91">
        <f>63*1.055</f>
        <v>66.464999999999989</v>
      </c>
      <c r="F88" s="89">
        <f t="shared" ref="F88:G91" si="4">57.75*1.055</f>
        <v>60.926249999999996</v>
      </c>
      <c r="G88" s="89">
        <f t="shared" si="4"/>
        <v>60.926249999999996</v>
      </c>
      <c r="H88" s="89"/>
      <c r="I88" s="89"/>
      <c r="J88" s="87" t="s">
        <v>91</v>
      </c>
    </row>
    <row r="89" spans="1:10" hidden="1" x14ac:dyDescent="0.2">
      <c r="A89" s="270" t="s">
        <v>118</v>
      </c>
      <c r="B89" s="272" t="s">
        <v>119</v>
      </c>
      <c r="C89" s="90" t="s">
        <v>53</v>
      </c>
      <c r="D89" s="95" t="s">
        <v>65</v>
      </c>
      <c r="E89" s="91">
        <f>63*1.055</f>
        <v>66.464999999999989</v>
      </c>
      <c r="F89" s="89">
        <f t="shared" si="4"/>
        <v>60.926249999999996</v>
      </c>
      <c r="G89" s="89">
        <f t="shared" si="4"/>
        <v>60.926249999999996</v>
      </c>
      <c r="H89" s="89"/>
      <c r="I89" s="89"/>
      <c r="J89" s="273" t="s">
        <v>113</v>
      </c>
    </row>
    <row r="90" spans="1:10" hidden="1" x14ac:dyDescent="0.2">
      <c r="A90" s="270"/>
      <c r="B90" s="272"/>
      <c r="C90" s="279" t="s">
        <v>53</v>
      </c>
      <c r="D90" s="95" t="s">
        <v>102</v>
      </c>
      <c r="E90" s="280">
        <f>68*1.055</f>
        <v>71.739999999999995</v>
      </c>
      <c r="F90" s="283">
        <f t="shared" si="4"/>
        <v>60.926249999999996</v>
      </c>
      <c r="G90" s="276">
        <f>47.25*1.055</f>
        <v>49.848749999999995</v>
      </c>
      <c r="H90" s="276"/>
      <c r="I90" s="276"/>
      <c r="J90" s="273"/>
    </row>
    <row r="91" spans="1:10" ht="25.5" hidden="1" x14ac:dyDescent="0.2">
      <c r="A91" s="270"/>
      <c r="B91" s="272"/>
      <c r="C91" s="279"/>
      <c r="D91" s="97" t="s">
        <v>190</v>
      </c>
      <c r="E91" s="280"/>
      <c r="F91" s="284">
        <f t="shared" si="4"/>
        <v>60.926249999999996</v>
      </c>
      <c r="G91" s="276"/>
      <c r="H91" s="276"/>
      <c r="I91" s="276"/>
      <c r="J91" s="273"/>
    </row>
    <row r="92" spans="1:10" hidden="1" x14ac:dyDescent="0.2">
      <c r="A92" s="270"/>
      <c r="B92" s="272"/>
      <c r="C92" s="90" t="s">
        <v>55</v>
      </c>
      <c r="D92" s="96" t="s">
        <v>79</v>
      </c>
      <c r="E92" s="91"/>
      <c r="F92" s="89">
        <f>27.3*1.055</f>
        <v>28.801500000000001</v>
      </c>
      <c r="G92" s="89">
        <f>27.3*1.055</f>
        <v>28.801500000000001</v>
      </c>
      <c r="H92" s="89">
        <f>27.3*1.055</f>
        <v>28.801500000000001</v>
      </c>
      <c r="I92" s="89"/>
      <c r="J92" s="273" t="s">
        <v>86</v>
      </c>
    </row>
    <row r="93" spans="1:10" hidden="1" x14ac:dyDescent="0.2">
      <c r="A93" s="270"/>
      <c r="B93" s="272"/>
      <c r="C93" s="281" t="s">
        <v>55</v>
      </c>
      <c r="D93" s="34" t="s">
        <v>120</v>
      </c>
      <c r="E93" s="282"/>
      <c r="F93" s="276">
        <f>35.7*1.055</f>
        <v>37.663499999999999</v>
      </c>
      <c r="G93" s="276">
        <f>35.7*1.055</f>
        <v>37.663499999999999</v>
      </c>
      <c r="H93" s="276">
        <f>35.7*1.055</f>
        <v>37.663499999999999</v>
      </c>
      <c r="I93" s="276"/>
      <c r="J93" s="273"/>
    </row>
    <row r="94" spans="1:10" ht="30" hidden="1" customHeight="1" x14ac:dyDescent="0.2">
      <c r="A94" s="270"/>
      <c r="B94" s="272"/>
      <c r="C94" s="281"/>
      <c r="D94" s="99" t="s">
        <v>81</v>
      </c>
      <c r="E94" s="282"/>
      <c r="F94" s="276"/>
      <c r="G94" s="276"/>
      <c r="H94" s="276"/>
      <c r="I94" s="276"/>
      <c r="J94" s="273"/>
    </row>
    <row r="95" spans="1:10" hidden="1" x14ac:dyDescent="0.2">
      <c r="A95" s="85" t="s">
        <v>121</v>
      </c>
      <c r="B95" s="86" t="s">
        <v>122</v>
      </c>
      <c r="C95" s="90" t="s">
        <v>53</v>
      </c>
      <c r="D95" s="97" t="s">
        <v>65</v>
      </c>
      <c r="E95" s="91">
        <f>63*1.055</f>
        <v>66.464999999999989</v>
      </c>
      <c r="F95" s="89">
        <f>57.75*1.055</f>
        <v>60.926249999999996</v>
      </c>
      <c r="G95" s="89">
        <f>57.75*1.055</f>
        <v>60.926249999999996</v>
      </c>
      <c r="H95" s="89"/>
      <c r="I95" s="89"/>
      <c r="J95" s="87" t="s">
        <v>91</v>
      </c>
    </row>
    <row r="96" spans="1:10" hidden="1" x14ac:dyDescent="0.2">
      <c r="A96" s="83" t="s">
        <v>164</v>
      </c>
      <c r="B96" s="265" t="s">
        <v>123</v>
      </c>
      <c r="C96" s="265"/>
      <c r="D96" s="265"/>
      <c r="E96" s="265"/>
      <c r="F96" s="265"/>
      <c r="G96" s="265"/>
      <c r="H96" s="265"/>
      <c r="I96" s="265"/>
      <c r="J96" s="265"/>
    </row>
    <row r="97" spans="1:10" hidden="1" x14ac:dyDescent="0.2">
      <c r="A97" s="85" t="s">
        <v>124</v>
      </c>
      <c r="B97" s="86" t="s">
        <v>125</v>
      </c>
      <c r="C97" s="90" t="s">
        <v>53</v>
      </c>
      <c r="D97" s="90" t="s">
        <v>79</v>
      </c>
      <c r="E97" s="91"/>
      <c r="F97" s="89"/>
      <c r="G97" s="89"/>
      <c r="H97" s="89"/>
      <c r="I97" s="89"/>
      <c r="J97" s="87" t="s">
        <v>70</v>
      </c>
    </row>
    <row r="98" spans="1:10" hidden="1" x14ac:dyDescent="0.2">
      <c r="A98" s="85" t="s">
        <v>126</v>
      </c>
      <c r="B98" s="86" t="s">
        <v>127</v>
      </c>
      <c r="C98" s="90" t="s">
        <v>53</v>
      </c>
      <c r="D98" s="90" t="s">
        <v>79</v>
      </c>
      <c r="E98" s="91"/>
      <c r="F98" s="89"/>
      <c r="G98" s="89"/>
      <c r="H98" s="89"/>
      <c r="I98" s="89"/>
      <c r="J98" s="87" t="s">
        <v>70</v>
      </c>
    </row>
    <row r="99" spans="1:10" hidden="1" x14ac:dyDescent="0.2">
      <c r="A99" s="270" t="s">
        <v>128</v>
      </c>
      <c r="B99" s="272" t="s">
        <v>129</v>
      </c>
      <c r="C99" s="90" t="s">
        <v>53</v>
      </c>
      <c r="D99" s="90" t="s">
        <v>79</v>
      </c>
      <c r="E99" s="91"/>
      <c r="F99" s="89"/>
      <c r="G99" s="89"/>
      <c r="H99" s="89"/>
      <c r="I99" s="89"/>
      <c r="J99" s="273" t="s">
        <v>77</v>
      </c>
    </row>
    <row r="100" spans="1:10" hidden="1" x14ac:dyDescent="0.2">
      <c r="A100" s="270"/>
      <c r="B100" s="272"/>
      <c r="C100" s="269" t="s">
        <v>78</v>
      </c>
      <c r="D100" s="90" t="s">
        <v>130</v>
      </c>
      <c r="E100" s="278"/>
      <c r="F100" s="276"/>
      <c r="G100" s="276"/>
      <c r="H100" s="276"/>
      <c r="I100" s="276"/>
      <c r="J100" s="273"/>
    </row>
    <row r="101" spans="1:10" ht="25.5" hidden="1" x14ac:dyDescent="0.2">
      <c r="A101" s="270"/>
      <c r="B101" s="272"/>
      <c r="C101" s="269"/>
      <c r="D101" s="90" t="s">
        <v>108</v>
      </c>
      <c r="E101" s="278"/>
      <c r="F101" s="276"/>
      <c r="G101" s="276"/>
      <c r="H101" s="276"/>
      <c r="I101" s="276"/>
      <c r="J101" s="273"/>
    </row>
    <row r="102" spans="1:10" ht="64.5" hidden="1" customHeight="1" x14ac:dyDescent="0.2">
      <c r="A102" s="270"/>
      <c r="B102" s="272"/>
      <c r="C102" s="90" t="s">
        <v>55</v>
      </c>
      <c r="D102" s="90" t="s">
        <v>131</v>
      </c>
      <c r="E102" s="91"/>
      <c r="F102" s="89"/>
      <c r="G102" s="89"/>
      <c r="H102" s="89"/>
      <c r="I102" s="89">
        <f>1.055*27.3</f>
        <v>28.801500000000001</v>
      </c>
      <c r="J102" s="87" t="s">
        <v>86</v>
      </c>
    </row>
    <row r="103" spans="1:10" ht="25.5" hidden="1" x14ac:dyDescent="0.2">
      <c r="A103" s="85">
        <v>210201</v>
      </c>
      <c r="B103" s="86" t="s">
        <v>132</v>
      </c>
      <c r="C103" s="90" t="s">
        <v>53</v>
      </c>
      <c r="D103" s="90" t="s">
        <v>79</v>
      </c>
      <c r="E103" s="91"/>
      <c r="F103" s="89"/>
      <c r="G103" s="89"/>
      <c r="H103" s="89"/>
      <c r="I103" s="89"/>
      <c r="J103" s="87" t="s">
        <v>98</v>
      </c>
    </row>
    <row r="104" spans="1:10" hidden="1" x14ac:dyDescent="0.2">
      <c r="A104" s="85" t="s">
        <v>153</v>
      </c>
      <c r="B104" s="86" t="s">
        <v>133</v>
      </c>
      <c r="C104" s="90" t="s">
        <v>53</v>
      </c>
      <c r="D104" s="90" t="s">
        <v>79</v>
      </c>
      <c r="E104" s="91"/>
      <c r="F104" s="89"/>
      <c r="G104" s="89"/>
      <c r="H104" s="89"/>
      <c r="I104" s="89"/>
      <c r="J104" s="87" t="s">
        <v>98</v>
      </c>
    </row>
    <row r="105" spans="1:10" hidden="1" x14ac:dyDescent="0.2">
      <c r="A105" s="85">
        <v>210312</v>
      </c>
      <c r="B105" s="86" t="s">
        <v>134</v>
      </c>
      <c r="C105" s="90" t="s">
        <v>53</v>
      </c>
      <c r="D105" s="90" t="s">
        <v>79</v>
      </c>
      <c r="E105" s="91"/>
      <c r="F105" s="89"/>
      <c r="G105" s="89"/>
      <c r="H105" s="89"/>
      <c r="I105" s="89"/>
      <c r="J105" s="87" t="s">
        <v>98</v>
      </c>
    </row>
    <row r="106" spans="1:10" ht="25.5" hidden="1" x14ac:dyDescent="0.2">
      <c r="A106" s="85">
        <v>210401</v>
      </c>
      <c r="B106" s="86" t="s">
        <v>135</v>
      </c>
      <c r="C106" s="90" t="s">
        <v>53</v>
      </c>
      <c r="D106" s="90" t="s">
        <v>79</v>
      </c>
      <c r="E106" s="91"/>
      <c r="F106" s="89"/>
      <c r="G106" s="89"/>
      <c r="H106" s="89"/>
      <c r="I106" s="89"/>
      <c r="J106" s="87" t="s">
        <v>91</v>
      </c>
    </row>
    <row r="107" spans="1:10" ht="48" hidden="1" customHeight="1" x14ac:dyDescent="0.2">
      <c r="A107" s="85" t="s">
        <v>154</v>
      </c>
      <c r="B107" s="86" t="s">
        <v>56</v>
      </c>
      <c r="C107" s="90" t="s">
        <v>53</v>
      </c>
      <c r="D107" s="90" t="s">
        <v>79</v>
      </c>
      <c r="E107" s="91"/>
      <c r="F107" s="89"/>
      <c r="G107" s="89"/>
      <c r="H107" s="89"/>
      <c r="I107" s="89"/>
      <c r="J107" s="87" t="s">
        <v>98</v>
      </c>
    </row>
    <row r="108" spans="1:10" hidden="1" x14ac:dyDescent="0.2">
      <c r="A108" s="85">
        <v>210403</v>
      </c>
      <c r="B108" s="86" t="s">
        <v>136</v>
      </c>
      <c r="C108" s="90" t="s">
        <v>53</v>
      </c>
      <c r="D108" s="90" t="s">
        <v>79</v>
      </c>
      <c r="E108" s="91"/>
      <c r="F108" s="89"/>
      <c r="G108" s="89"/>
      <c r="H108" s="89"/>
      <c r="I108" s="89"/>
      <c r="J108" s="87" t="s">
        <v>91</v>
      </c>
    </row>
    <row r="109" spans="1:10" ht="31.5" hidden="1" customHeight="1" x14ac:dyDescent="0.2">
      <c r="A109" s="270" t="s">
        <v>155</v>
      </c>
      <c r="B109" s="272" t="s">
        <v>52</v>
      </c>
      <c r="C109" s="90" t="s">
        <v>53</v>
      </c>
      <c r="D109" s="90" t="s">
        <v>79</v>
      </c>
      <c r="E109" s="91"/>
      <c r="F109" s="89"/>
      <c r="G109" s="89"/>
      <c r="H109" s="89"/>
      <c r="I109" s="89"/>
      <c r="J109" s="87" t="s">
        <v>91</v>
      </c>
    </row>
    <row r="110" spans="1:10" hidden="1" x14ac:dyDescent="0.2">
      <c r="A110" s="270"/>
      <c r="B110" s="272"/>
      <c r="C110" s="90" t="s">
        <v>78</v>
      </c>
      <c r="D110" s="90" t="s">
        <v>131</v>
      </c>
      <c r="E110" s="91"/>
      <c r="F110" s="89"/>
      <c r="G110" s="89"/>
      <c r="H110" s="89"/>
      <c r="I110" s="89">
        <f>1.055*29.4</f>
        <v>31.016999999999996</v>
      </c>
      <c r="J110" s="273" t="s">
        <v>86</v>
      </c>
    </row>
    <row r="111" spans="1:10" hidden="1" x14ac:dyDescent="0.2">
      <c r="A111" s="270"/>
      <c r="B111" s="272"/>
      <c r="C111" s="262" t="s">
        <v>55</v>
      </c>
      <c r="D111" s="90" t="s">
        <v>131</v>
      </c>
      <c r="E111" s="91"/>
      <c r="F111" s="89"/>
      <c r="G111" s="89"/>
      <c r="H111" s="89"/>
      <c r="I111" s="89">
        <f>1.055*27.3</f>
        <v>28.801500000000001</v>
      </c>
      <c r="J111" s="273"/>
    </row>
    <row r="112" spans="1:10" hidden="1" x14ac:dyDescent="0.2">
      <c r="A112" s="270"/>
      <c r="B112" s="272"/>
      <c r="C112" s="288"/>
      <c r="D112" s="90" t="s">
        <v>137</v>
      </c>
      <c r="E112" s="274"/>
      <c r="F112" s="275"/>
      <c r="G112" s="275"/>
      <c r="H112" s="276"/>
      <c r="I112" s="276">
        <f>35.7*1.055</f>
        <v>37.663499999999999</v>
      </c>
      <c r="J112" s="273"/>
    </row>
    <row r="113" spans="1:10" ht="30" hidden="1" customHeight="1" x14ac:dyDescent="0.2">
      <c r="A113" s="270"/>
      <c r="B113" s="272"/>
      <c r="C113" s="263"/>
      <c r="D113" s="90" t="s">
        <v>81</v>
      </c>
      <c r="E113" s="274"/>
      <c r="F113" s="275"/>
      <c r="G113" s="275"/>
      <c r="H113" s="276"/>
      <c r="I113" s="276"/>
      <c r="J113" s="273"/>
    </row>
    <row r="114" spans="1:10" hidden="1" x14ac:dyDescent="0.2">
      <c r="A114" s="270"/>
      <c r="B114" s="272"/>
      <c r="C114" s="269" t="s">
        <v>55</v>
      </c>
      <c r="D114" s="90" t="s">
        <v>138</v>
      </c>
      <c r="E114" s="274"/>
      <c r="F114" s="275"/>
      <c r="G114" s="275"/>
      <c r="H114" s="276"/>
      <c r="I114" s="276"/>
      <c r="J114" s="273"/>
    </row>
    <row r="115" spans="1:10" ht="36" hidden="1" customHeight="1" x14ac:dyDescent="0.2">
      <c r="A115" s="270"/>
      <c r="B115" s="272"/>
      <c r="C115" s="269"/>
      <c r="D115" s="90" t="s">
        <v>71</v>
      </c>
      <c r="E115" s="274"/>
      <c r="F115" s="275"/>
      <c r="G115" s="275"/>
      <c r="H115" s="276"/>
      <c r="I115" s="276"/>
      <c r="J115" s="273"/>
    </row>
    <row r="116" spans="1:10" ht="24.75" hidden="1" customHeight="1" x14ac:dyDescent="0.2">
      <c r="A116" s="270" t="s">
        <v>156</v>
      </c>
      <c r="B116" s="272" t="s">
        <v>32</v>
      </c>
      <c r="C116" s="90" t="s">
        <v>53</v>
      </c>
      <c r="D116" s="90" t="s">
        <v>79</v>
      </c>
      <c r="E116" s="91"/>
      <c r="F116" s="89"/>
      <c r="G116" s="89"/>
      <c r="H116" s="89"/>
      <c r="I116" s="89"/>
      <c r="J116" s="87" t="s">
        <v>98</v>
      </c>
    </row>
    <row r="117" spans="1:10" ht="46.5" hidden="1" customHeight="1" x14ac:dyDescent="0.2">
      <c r="A117" s="270"/>
      <c r="B117" s="272"/>
      <c r="C117" s="90" t="s">
        <v>55</v>
      </c>
      <c r="D117" s="90" t="s">
        <v>131</v>
      </c>
      <c r="E117" s="91"/>
      <c r="F117" s="89"/>
      <c r="G117" s="89"/>
      <c r="H117" s="89"/>
      <c r="I117" s="89">
        <f>1.055*27.3</f>
        <v>28.801500000000001</v>
      </c>
      <c r="J117" s="87" t="s">
        <v>86</v>
      </c>
    </row>
    <row r="118" spans="1:10" hidden="1" x14ac:dyDescent="0.2">
      <c r="A118" s="270" t="s">
        <v>157</v>
      </c>
      <c r="B118" s="272" t="s">
        <v>34</v>
      </c>
      <c r="C118" s="90" t="s">
        <v>53</v>
      </c>
      <c r="D118" s="90" t="s">
        <v>139</v>
      </c>
      <c r="E118" s="91"/>
      <c r="F118" s="89"/>
      <c r="G118" s="89"/>
      <c r="H118" s="89"/>
      <c r="I118" s="89"/>
      <c r="J118" s="87" t="s">
        <v>91</v>
      </c>
    </row>
    <row r="119" spans="1:10" ht="30" hidden="1" customHeight="1" x14ac:dyDescent="0.2">
      <c r="A119" s="270"/>
      <c r="B119" s="272"/>
      <c r="C119" s="90" t="s">
        <v>78</v>
      </c>
      <c r="D119" s="90" t="s">
        <v>131</v>
      </c>
      <c r="E119" s="91"/>
      <c r="F119" s="89"/>
      <c r="G119" s="89"/>
      <c r="H119" s="89"/>
      <c r="I119" s="89">
        <f>1.055*29.4</f>
        <v>31.016999999999996</v>
      </c>
      <c r="J119" s="273" t="s">
        <v>86</v>
      </c>
    </row>
    <row r="120" spans="1:10" ht="18.75" hidden="1" customHeight="1" x14ac:dyDescent="0.2">
      <c r="A120" s="270"/>
      <c r="B120" s="272"/>
      <c r="C120" s="262" t="s">
        <v>55</v>
      </c>
      <c r="D120" s="95" t="s">
        <v>131</v>
      </c>
      <c r="E120" s="91"/>
      <c r="F120" s="89"/>
      <c r="G120" s="89"/>
      <c r="H120" s="89"/>
      <c r="I120" s="89">
        <f>1.055*27.3</f>
        <v>28.801500000000001</v>
      </c>
      <c r="J120" s="273"/>
    </row>
    <row r="121" spans="1:10" ht="17.25" hidden="1" customHeight="1" x14ac:dyDescent="0.2">
      <c r="A121" s="270"/>
      <c r="B121" s="272"/>
      <c r="C121" s="288"/>
      <c r="D121" s="95" t="s">
        <v>137</v>
      </c>
      <c r="E121" s="277"/>
      <c r="F121" s="275"/>
      <c r="G121" s="275"/>
      <c r="H121" s="276"/>
      <c r="I121" s="276">
        <f>35.7*1.055</f>
        <v>37.663499999999999</v>
      </c>
      <c r="J121" s="273"/>
    </row>
    <row r="122" spans="1:10" ht="27.75" hidden="1" customHeight="1" x14ac:dyDescent="0.2">
      <c r="A122" s="270"/>
      <c r="B122" s="272"/>
      <c r="C122" s="263"/>
      <c r="D122" s="97" t="s">
        <v>81</v>
      </c>
      <c r="E122" s="277"/>
      <c r="F122" s="275"/>
      <c r="G122" s="275"/>
      <c r="H122" s="276"/>
      <c r="I122" s="276"/>
      <c r="J122" s="273"/>
    </row>
    <row r="123" spans="1:10" ht="16.5" hidden="1" customHeight="1" x14ac:dyDescent="0.2">
      <c r="A123" s="270"/>
      <c r="B123" s="272"/>
      <c r="C123" s="269" t="s">
        <v>55</v>
      </c>
      <c r="D123" s="97" t="s">
        <v>140</v>
      </c>
      <c r="E123" s="274"/>
      <c r="F123" s="275"/>
      <c r="G123" s="275"/>
      <c r="H123" s="276"/>
      <c r="I123" s="276"/>
      <c r="J123" s="273"/>
    </row>
    <row r="124" spans="1:10" ht="33.75" hidden="1" customHeight="1" x14ac:dyDescent="0.2">
      <c r="A124" s="270"/>
      <c r="B124" s="272"/>
      <c r="C124" s="269"/>
      <c r="D124" s="90" t="s">
        <v>71</v>
      </c>
      <c r="E124" s="274"/>
      <c r="F124" s="275"/>
      <c r="G124" s="275"/>
      <c r="H124" s="276"/>
      <c r="I124" s="276"/>
      <c r="J124" s="273"/>
    </row>
    <row r="125" spans="1:10" s="133" customFormat="1" ht="60" hidden="1" customHeight="1" x14ac:dyDescent="0.2">
      <c r="A125" s="48" t="s">
        <v>158</v>
      </c>
      <c r="B125" s="49" t="s">
        <v>141</v>
      </c>
      <c r="C125" s="50" t="s">
        <v>53</v>
      </c>
      <c r="D125" s="50" t="s">
        <v>79</v>
      </c>
      <c r="E125" s="51">
        <f>53*1.055</f>
        <v>55.914999999999999</v>
      </c>
      <c r="F125" s="52">
        <f>48.3*1.055</f>
        <v>50.956499999999991</v>
      </c>
      <c r="G125" s="52">
        <f>48.3*1.055</f>
        <v>50.956499999999991</v>
      </c>
      <c r="H125" s="52"/>
      <c r="I125" s="52"/>
      <c r="J125" s="50" t="s">
        <v>66</v>
      </c>
    </row>
    <row r="126" spans="1:10" hidden="1" x14ac:dyDescent="0.2">
      <c r="A126" s="270" t="s">
        <v>159</v>
      </c>
      <c r="B126" s="272" t="s">
        <v>142</v>
      </c>
      <c r="C126" s="90" t="s">
        <v>53</v>
      </c>
      <c r="D126" s="90" t="s">
        <v>79</v>
      </c>
      <c r="E126" s="91"/>
      <c r="F126" s="89"/>
      <c r="G126" s="89"/>
      <c r="H126" s="89"/>
      <c r="I126" s="89"/>
      <c r="J126" s="87" t="s">
        <v>113</v>
      </c>
    </row>
    <row r="127" spans="1:10" hidden="1" x14ac:dyDescent="0.2">
      <c r="A127" s="270"/>
      <c r="B127" s="272"/>
      <c r="C127" s="262" t="s">
        <v>55</v>
      </c>
      <c r="D127" s="95" t="s">
        <v>131</v>
      </c>
      <c r="E127" s="91"/>
      <c r="F127" s="89"/>
      <c r="G127" s="89"/>
      <c r="H127" s="89"/>
      <c r="I127" s="89">
        <f>1.055*27.3</f>
        <v>28.801500000000001</v>
      </c>
      <c r="J127" s="273" t="s">
        <v>86</v>
      </c>
    </row>
    <row r="128" spans="1:10" hidden="1" x14ac:dyDescent="0.2">
      <c r="A128" s="270"/>
      <c r="B128" s="272"/>
      <c r="C128" s="288"/>
      <c r="D128" s="95" t="s">
        <v>137</v>
      </c>
      <c r="E128" s="277"/>
      <c r="F128" s="275"/>
      <c r="G128" s="275"/>
      <c r="H128" s="276"/>
      <c r="I128" s="276">
        <f>35.7*1.055</f>
        <v>37.663499999999999</v>
      </c>
      <c r="J128" s="273"/>
    </row>
    <row r="129" spans="1:10" ht="29.25" hidden="1" customHeight="1" x14ac:dyDescent="0.2">
      <c r="A129" s="270"/>
      <c r="B129" s="272"/>
      <c r="C129" s="288"/>
      <c r="D129" s="97" t="s">
        <v>81</v>
      </c>
      <c r="E129" s="277"/>
      <c r="F129" s="275"/>
      <c r="G129" s="275"/>
      <c r="H129" s="276"/>
      <c r="I129" s="276"/>
      <c r="J129" s="273"/>
    </row>
    <row r="130" spans="1:10" hidden="1" x14ac:dyDescent="0.2">
      <c r="A130" s="270"/>
      <c r="B130" s="272"/>
      <c r="C130" s="288"/>
      <c r="D130" s="95" t="s">
        <v>138</v>
      </c>
      <c r="E130" s="274"/>
      <c r="F130" s="275"/>
      <c r="G130" s="275"/>
      <c r="H130" s="276"/>
      <c r="I130" s="276"/>
      <c r="J130" s="273"/>
    </row>
    <row r="131" spans="1:10" ht="25.5" hidden="1" x14ac:dyDescent="0.2">
      <c r="A131" s="270"/>
      <c r="B131" s="272"/>
      <c r="C131" s="263"/>
      <c r="D131" s="97" t="s">
        <v>71</v>
      </c>
      <c r="E131" s="274"/>
      <c r="F131" s="275"/>
      <c r="G131" s="275"/>
      <c r="H131" s="276"/>
      <c r="I131" s="276"/>
      <c r="J131" s="273"/>
    </row>
    <row r="132" spans="1:10" ht="80.25" hidden="1" customHeight="1" x14ac:dyDescent="0.2">
      <c r="A132" s="85">
        <v>230102</v>
      </c>
      <c r="B132" s="86" t="s">
        <v>143</v>
      </c>
      <c r="C132" s="90" t="s">
        <v>53</v>
      </c>
      <c r="D132" s="90" t="s">
        <v>79</v>
      </c>
      <c r="E132" s="91"/>
      <c r="F132" s="89"/>
      <c r="G132" s="89"/>
      <c r="H132" s="89"/>
      <c r="I132" s="89"/>
      <c r="J132" s="87" t="s">
        <v>91</v>
      </c>
    </row>
    <row r="133" spans="1:10" ht="38.25" hidden="1" x14ac:dyDescent="0.2">
      <c r="A133" s="85">
        <v>230105</v>
      </c>
      <c r="B133" s="86" t="s">
        <v>144</v>
      </c>
      <c r="C133" s="90" t="s">
        <v>53</v>
      </c>
      <c r="D133" s="90" t="s">
        <v>79</v>
      </c>
      <c r="E133" s="91"/>
      <c r="F133" s="89"/>
      <c r="G133" s="89"/>
      <c r="H133" s="89"/>
      <c r="I133" s="89"/>
      <c r="J133" s="87" t="s">
        <v>91</v>
      </c>
    </row>
    <row r="134" spans="1:10" ht="21" hidden="1" customHeight="1" x14ac:dyDescent="0.2">
      <c r="A134" s="270" t="s">
        <v>160</v>
      </c>
      <c r="B134" s="272" t="s">
        <v>119</v>
      </c>
      <c r="C134" s="90" t="s">
        <v>53</v>
      </c>
      <c r="D134" s="90" t="s">
        <v>79</v>
      </c>
      <c r="E134" s="91"/>
      <c r="F134" s="89"/>
      <c r="G134" s="89"/>
      <c r="H134" s="89"/>
      <c r="I134" s="89"/>
      <c r="J134" s="87" t="s">
        <v>113</v>
      </c>
    </row>
    <row r="135" spans="1:10" ht="20.25" hidden="1" customHeight="1" x14ac:dyDescent="0.2">
      <c r="A135" s="270"/>
      <c r="B135" s="272"/>
      <c r="C135" s="262" t="s">
        <v>55</v>
      </c>
      <c r="D135" s="90" t="s">
        <v>131</v>
      </c>
      <c r="E135" s="91"/>
      <c r="F135" s="89"/>
      <c r="G135" s="89"/>
      <c r="H135" s="89"/>
      <c r="I135" s="89">
        <f>1.055*27.3</f>
        <v>28.801500000000001</v>
      </c>
      <c r="J135" s="273" t="s">
        <v>86</v>
      </c>
    </row>
    <row r="136" spans="1:10" hidden="1" x14ac:dyDescent="0.2">
      <c r="A136" s="270"/>
      <c r="B136" s="272"/>
      <c r="C136" s="288"/>
      <c r="D136" s="95" t="s">
        <v>145</v>
      </c>
      <c r="E136" s="274"/>
      <c r="F136" s="275"/>
      <c r="G136" s="275"/>
      <c r="H136" s="276"/>
      <c r="I136" s="276">
        <f>35.7*1.055</f>
        <v>37.663499999999999</v>
      </c>
      <c r="J136" s="273"/>
    </row>
    <row r="137" spans="1:10" ht="37.5" hidden="1" customHeight="1" x14ac:dyDescent="0.2">
      <c r="A137" s="270"/>
      <c r="B137" s="272"/>
      <c r="C137" s="263"/>
      <c r="D137" s="97" t="s">
        <v>81</v>
      </c>
      <c r="E137" s="274"/>
      <c r="F137" s="275"/>
      <c r="G137" s="275"/>
      <c r="H137" s="276"/>
      <c r="I137" s="276"/>
      <c r="J137" s="273"/>
    </row>
    <row r="138" spans="1:10" hidden="1" x14ac:dyDescent="0.2">
      <c r="A138" s="83" t="s">
        <v>165</v>
      </c>
      <c r="B138" s="265" t="s">
        <v>146</v>
      </c>
      <c r="C138" s="265"/>
      <c r="D138" s="265"/>
      <c r="E138" s="265"/>
      <c r="F138" s="265"/>
      <c r="G138" s="265"/>
      <c r="H138" s="265"/>
      <c r="I138" s="265"/>
      <c r="J138" s="265"/>
    </row>
    <row r="139" spans="1:10" hidden="1" x14ac:dyDescent="0.2">
      <c r="A139" s="85" t="s">
        <v>147</v>
      </c>
      <c r="B139" s="86" t="s">
        <v>148</v>
      </c>
      <c r="C139" s="90" t="s">
        <v>53</v>
      </c>
      <c r="D139" s="90" t="s">
        <v>149</v>
      </c>
      <c r="E139" s="54">
        <f>1.055*56</f>
        <v>59.08</v>
      </c>
      <c r="F139" s="91">
        <f>57.75*1.055</f>
        <v>60.926249999999996</v>
      </c>
      <c r="G139" s="89"/>
      <c r="H139" s="89"/>
      <c r="I139" s="89"/>
      <c r="J139" s="108" t="s">
        <v>70</v>
      </c>
    </row>
    <row r="140" spans="1:10" ht="25.5" hidden="1" x14ac:dyDescent="0.2">
      <c r="A140" s="85" t="s">
        <v>192</v>
      </c>
      <c r="B140" s="86" t="s">
        <v>90</v>
      </c>
      <c r="C140" s="90" t="s">
        <v>53</v>
      </c>
      <c r="D140" s="90" t="s">
        <v>149</v>
      </c>
      <c r="E140" s="54">
        <f>60*1.055</f>
        <v>63.3</v>
      </c>
      <c r="F140" s="91">
        <f>57.75*1.055</f>
        <v>60.926249999999996</v>
      </c>
      <c r="G140" s="89"/>
      <c r="H140" s="89"/>
      <c r="I140" s="89"/>
      <c r="J140" s="108" t="s">
        <v>91</v>
      </c>
    </row>
    <row r="141" spans="1:10" ht="25.5" hidden="1" x14ac:dyDescent="0.2">
      <c r="A141" s="56" t="s">
        <v>193</v>
      </c>
      <c r="B141" s="86" t="s">
        <v>68</v>
      </c>
      <c r="C141" s="90" t="s">
        <v>53</v>
      </c>
      <c r="D141" s="90" t="s">
        <v>149</v>
      </c>
      <c r="E141" s="54">
        <f>1.055*50</f>
        <v>52.75</v>
      </c>
      <c r="F141" s="91">
        <f>1.055*47.75</f>
        <v>50.376249999999999</v>
      </c>
      <c r="G141" s="89"/>
      <c r="H141" s="89"/>
      <c r="I141" s="89"/>
      <c r="J141" s="108" t="s">
        <v>70</v>
      </c>
    </row>
    <row r="142" spans="1:10" ht="22.5" hidden="1" customHeight="1" x14ac:dyDescent="0.2">
      <c r="A142" s="329" t="s">
        <v>194</v>
      </c>
      <c r="B142" s="332" t="s">
        <v>105</v>
      </c>
      <c r="C142" s="262" t="s">
        <v>53</v>
      </c>
      <c r="D142" s="262" t="s">
        <v>149</v>
      </c>
      <c r="E142" s="54">
        <f>1.055*60</f>
        <v>63.3</v>
      </c>
      <c r="F142" s="91">
        <f>57.75*1.055</f>
        <v>60.926249999999996</v>
      </c>
      <c r="G142" s="89"/>
      <c r="H142" s="89"/>
      <c r="I142" s="89"/>
      <c r="J142" s="108" t="s">
        <v>98</v>
      </c>
    </row>
    <row r="143" spans="1:10" ht="22.5" hidden="1" customHeight="1" x14ac:dyDescent="0.2">
      <c r="A143" s="330"/>
      <c r="B143" s="333"/>
      <c r="C143" s="288"/>
      <c r="D143" s="288"/>
      <c r="E143" s="54">
        <f>1.055*55</f>
        <v>58.024999999999999</v>
      </c>
      <c r="F143" s="91"/>
      <c r="G143" s="89"/>
      <c r="H143" s="89"/>
      <c r="I143" s="89"/>
      <c r="J143" s="108" t="s">
        <v>101</v>
      </c>
    </row>
    <row r="144" spans="1:10" ht="24" hidden="1" customHeight="1" x14ac:dyDescent="0.2">
      <c r="A144" s="331"/>
      <c r="B144" s="334"/>
      <c r="C144" s="263" t="s">
        <v>53</v>
      </c>
      <c r="D144" s="263" t="s">
        <v>149</v>
      </c>
      <c r="E144" s="54">
        <f>1.055*60</f>
        <v>63.3</v>
      </c>
      <c r="F144" s="91"/>
      <c r="G144" s="89"/>
      <c r="H144" s="89"/>
      <c r="I144" s="89"/>
      <c r="J144" s="108" t="s">
        <v>91</v>
      </c>
    </row>
    <row r="145" spans="1:10" ht="38.25" hidden="1" x14ac:dyDescent="0.2">
      <c r="A145" s="56" t="s">
        <v>150</v>
      </c>
      <c r="B145" s="86" t="s">
        <v>110</v>
      </c>
      <c r="C145" s="90" t="s">
        <v>53</v>
      </c>
      <c r="D145" s="90" t="s">
        <v>149</v>
      </c>
      <c r="E145" s="54">
        <f>60*1.055</f>
        <v>63.3</v>
      </c>
      <c r="F145" s="91">
        <f>57.75*1.055</f>
        <v>60.926249999999996</v>
      </c>
      <c r="G145" s="89"/>
      <c r="H145" s="89"/>
      <c r="I145" s="89"/>
      <c r="J145" s="108" t="s">
        <v>98</v>
      </c>
    </row>
    <row r="146" spans="1:10" ht="38.25" hidden="1" x14ac:dyDescent="0.2">
      <c r="A146" s="56" t="s">
        <v>195</v>
      </c>
      <c r="B146" s="86" t="s">
        <v>151</v>
      </c>
      <c r="C146" s="90" t="s">
        <v>53</v>
      </c>
      <c r="D146" s="90" t="s">
        <v>149</v>
      </c>
      <c r="E146" s="54">
        <f>55*1.055</f>
        <v>58.024999999999999</v>
      </c>
      <c r="F146" s="91">
        <f>57.75*1.055</f>
        <v>60.926249999999996</v>
      </c>
      <c r="G146" s="89"/>
      <c r="H146" s="89"/>
      <c r="I146" s="89"/>
      <c r="J146" s="108" t="s">
        <v>113</v>
      </c>
    </row>
    <row r="147" spans="1:10" ht="25.5" hidden="1" x14ac:dyDescent="0.2">
      <c r="A147" s="56" t="s">
        <v>196</v>
      </c>
      <c r="B147" s="86" t="s">
        <v>119</v>
      </c>
      <c r="C147" s="90" t="s">
        <v>53</v>
      </c>
      <c r="D147" s="90" t="s">
        <v>149</v>
      </c>
      <c r="E147" s="54">
        <f>65*1.055</f>
        <v>68.575000000000003</v>
      </c>
      <c r="F147" s="91">
        <f>57.75*1.055</f>
        <v>60.926249999999996</v>
      </c>
      <c r="G147" s="89"/>
      <c r="H147" s="89"/>
      <c r="I147" s="89"/>
      <c r="J147" s="108"/>
    </row>
    <row r="148" spans="1:10" hidden="1" x14ac:dyDescent="0.2">
      <c r="A148" s="56" t="s">
        <v>197</v>
      </c>
      <c r="B148" s="86" t="s">
        <v>115</v>
      </c>
      <c r="C148" s="90" t="s">
        <v>53</v>
      </c>
      <c r="D148" s="90" t="s">
        <v>149</v>
      </c>
      <c r="E148" s="54">
        <f>45*1.055</f>
        <v>47.474999999999994</v>
      </c>
      <c r="F148" s="91">
        <f>1.055*38.85</f>
        <v>40.986750000000001</v>
      </c>
      <c r="G148" s="89"/>
      <c r="H148" s="89"/>
      <c r="I148" s="89"/>
      <c r="J148" s="108" t="s">
        <v>98</v>
      </c>
    </row>
    <row r="149" spans="1:10" hidden="1" x14ac:dyDescent="0.2">
      <c r="A149" s="57" t="s">
        <v>198</v>
      </c>
      <c r="B149" s="106" t="s">
        <v>133</v>
      </c>
      <c r="C149" s="87" t="s">
        <v>53</v>
      </c>
      <c r="D149" s="87" t="s">
        <v>149</v>
      </c>
      <c r="E149" s="54">
        <f>60*1.055</f>
        <v>63.3</v>
      </c>
      <c r="F149" s="91">
        <f>57.75*1.055</f>
        <v>60.926249999999996</v>
      </c>
      <c r="G149" s="89"/>
      <c r="H149" s="89"/>
      <c r="I149" s="89"/>
      <c r="J149" s="108" t="s">
        <v>98</v>
      </c>
    </row>
    <row r="150" spans="1:10" hidden="1" x14ac:dyDescent="0.2">
      <c r="A150" s="57" t="s">
        <v>152</v>
      </c>
      <c r="B150" s="106" t="s">
        <v>88</v>
      </c>
      <c r="C150" s="87" t="s">
        <v>53</v>
      </c>
      <c r="D150" s="87" t="s">
        <v>149</v>
      </c>
      <c r="E150" s="54">
        <f>50*1.055</f>
        <v>52.75</v>
      </c>
      <c r="F150" s="101">
        <f>1.055*47.25</f>
        <v>49.848749999999995</v>
      </c>
      <c r="G150" s="59"/>
      <c r="H150" s="59"/>
      <c r="I150" s="59"/>
      <c r="J150" s="108" t="s">
        <v>77</v>
      </c>
    </row>
    <row r="151" spans="1:10" ht="14.25" hidden="1" customHeight="1" x14ac:dyDescent="0.2">
      <c r="A151" s="83" t="s">
        <v>166</v>
      </c>
      <c r="B151" s="265" t="s">
        <v>167</v>
      </c>
      <c r="C151" s="265"/>
      <c r="D151" s="265"/>
      <c r="E151" s="265"/>
      <c r="F151" s="265"/>
      <c r="G151" s="265"/>
      <c r="H151" s="265"/>
      <c r="I151" s="265"/>
      <c r="J151" s="265"/>
    </row>
    <row r="152" spans="1:10" hidden="1" x14ac:dyDescent="0.2">
      <c r="A152" s="325" t="s">
        <v>172</v>
      </c>
      <c r="B152" s="323" t="s">
        <v>171</v>
      </c>
      <c r="C152" s="90" t="s">
        <v>53</v>
      </c>
      <c r="D152" s="90" t="s">
        <v>169</v>
      </c>
      <c r="E152" s="91"/>
      <c r="F152" s="91">
        <f>1.055*58.8</f>
        <v>62.033999999999992</v>
      </c>
      <c r="G152" s="89"/>
      <c r="H152" s="89"/>
      <c r="I152" s="89"/>
      <c r="J152" s="335" t="s">
        <v>170</v>
      </c>
    </row>
    <row r="153" spans="1:10" hidden="1" x14ac:dyDescent="0.2">
      <c r="A153" s="325"/>
      <c r="B153" s="323"/>
      <c r="C153" s="90" t="s">
        <v>55</v>
      </c>
      <c r="D153" s="90" t="s">
        <v>168</v>
      </c>
      <c r="E153" s="91"/>
      <c r="F153" s="91">
        <f>1.055*42</f>
        <v>44.309999999999995</v>
      </c>
      <c r="G153" s="89"/>
      <c r="H153" s="89"/>
      <c r="I153" s="89"/>
      <c r="J153" s="335"/>
    </row>
    <row r="154" spans="1:10" hidden="1" x14ac:dyDescent="0.2">
      <c r="A154" s="325" t="s">
        <v>174</v>
      </c>
      <c r="B154" s="323" t="s">
        <v>173</v>
      </c>
      <c r="C154" s="90" t="s">
        <v>53</v>
      </c>
      <c r="D154" s="90" t="s">
        <v>169</v>
      </c>
      <c r="E154" s="91"/>
      <c r="F154" s="91">
        <f>1.055*63</f>
        <v>66.464999999999989</v>
      </c>
      <c r="G154" s="89"/>
      <c r="H154" s="89"/>
      <c r="I154" s="89"/>
      <c r="J154" s="335" t="s">
        <v>170</v>
      </c>
    </row>
    <row r="155" spans="1:10" hidden="1" x14ac:dyDescent="0.2">
      <c r="A155" s="325"/>
      <c r="B155" s="323"/>
      <c r="C155" s="90" t="s">
        <v>55</v>
      </c>
      <c r="D155" s="90" t="s">
        <v>168</v>
      </c>
      <c r="E155" s="91"/>
      <c r="F155" s="91">
        <f>1.055*44.1</f>
        <v>46.525500000000001</v>
      </c>
      <c r="G155" s="89"/>
      <c r="H155" s="89">
        <f>1.055*29.4</f>
        <v>31.016999999999996</v>
      </c>
      <c r="I155" s="89"/>
      <c r="J155" s="335"/>
    </row>
    <row r="156" spans="1:10" hidden="1" x14ac:dyDescent="0.2">
      <c r="A156" s="325" t="s">
        <v>176</v>
      </c>
      <c r="B156" s="323" t="s">
        <v>175</v>
      </c>
      <c r="C156" s="90" t="s">
        <v>53</v>
      </c>
      <c r="D156" s="90" t="s">
        <v>169</v>
      </c>
      <c r="E156" s="91"/>
      <c r="F156" s="91">
        <f>1.055*39.9</f>
        <v>42.094499999999996</v>
      </c>
      <c r="G156" s="89"/>
      <c r="H156" s="89"/>
      <c r="I156" s="89"/>
      <c r="J156" s="335" t="s">
        <v>170</v>
      </c>
    </row>
    <row r="157" spans="1:10" hidden="1" x14ac:dyDescent="0.2">
      <c r="A157" s="325"/>
      <c r="B157" s="323"/>
      <c r="C157" s="90" t="s">
        <v>55</v>
      </c>
      <c r="D157" s="90" t="s">
        <v>168</v>
      </c>
      <c r="E157" s="91"/>
      <c r="F157" s="91">
        <f>1.055*27.3</f>
        <v>28.801500000000001</v>
      </c>
      <c r="G157" s="89">
        <f>1.055*17.9</f>
        <v>18.884499999999996</v>
      </c>
      <c r="H157" s="89"/>
      <c r="I157" s="89"/>
      <c r="J157" s="335"/>
    </row>
    <row r="158" spans="1:10" hidden="1" x14ac:dyDescent="0.2">
      <c r="A158" s="325" t="s">
        <v>178</v>
      </c>
      <c r="B158" s="323" t="s">
        <v>177</v>
      </c>
      <c r="C158" s="90" t="s">
        <v>53</v>
      </c>
      <c r="D158" s="90" t="s">
        <v>169</v>
      </c>
      <c r="E158" s="91"/>
      <c r="F158" s="91">
        <f>1.055*39.9</f>
        <v>42.094499999999996</v>
      </c>
      <c r="G158" s="89"/>
      <c r="H158" s="89"/>
      <c r="I158" s="89"/>
      <c r="J158" s="335" t="s">
        <v>170</v>
      </c>
    </row>
    <row r="159" spans="1:10" hidden="1" x14ac:dyDescent="0.2">
      <c r="A159" s="325"/>
      <c r="B159" s="323"/>
      <c r="C159" s="90" t="s">
        <v>55</v>
      </c>
      <c r="D159" s="90" t="s">
        <v>168</v>
      </c>
      <c r="E159" s="91"/>
      <c r="F159" s="91">
        <f>1.055*27.3</f>
        <v>28.801500000000001</v>
      </c>
      <c r="G159" s="89">
        <f>1.055*17.9</f>
        <v>18.884499999999996</v>
      </c>
      <c r="H159" s="89"/>
      <c r="I159" s="89"/>
      <c r="J159" s="335"/>
    </row>
    <row r="160" spans="1:10" hidden="1" x14ac:dyDescent="0.2">
      <c r="A160" s="325" t="s">
        <v>180</v>
      </c>
      <c r="B160" s="323" t="s">
        <v>179</v>
      </c>
      <c r="C160" s="90" t="s">
        <v>53</v>
      </c>
      <c r="D160" s="90" t="s">
        <v>169</v>
      </c>
      <c r="E160" s="91"/>
      <c r="F160" s="91">
        <f>1.055*39.9</f>
        <v>42.094499999999996</v>
      </c>
      <c r="G160" s="89"/>
      <c r="H160" s="89"/>
      <c r="I160" s="89"/>
      <c r="J160" s="335" t="s">
        <v>170</v>
      </c>
    </row>
    <row r="161" spans="1:10" hidden="1" x14ac:dyDescent="0.2">
      <c r="A161" s="325"/>
      <c r="B161" s="323"/>
      <c r="C161" s="90" t="s">
        <v>55</v>
      </c>
      <c r="D161" s="90" t="s">
        <v>168</v>
      </c>
      <c r="E161" s="91"/>
      <c r="F161" s="91">
        <f>1.055*27.3</f>
        <v>28.801500000000001</v>
      </c>
      <c r="G161" s="89">
        <f>1.055*17.9</f>
        <v>18.884499999999996</v>
      </c>
      <c r="H161" s="89"/>
      <c r="I161" s="59"/>
      <c r="J161" s="335"/>
    </row>
    <row r="162" spans="1:10" ht="13.5" hidden="1" customHeight="1" x14ac:dyDescent="0.2">
      <c r="A162" s="325" t="s">
        <v>205</v>
      </c>
      <c r="B162" s="323" t="s">
        <v>206</v>
      </c>
      <c r="C162" s="87" t="s">
        <v>53</v>
      </c>
      <c r="D162" s="87" t="s">
        <v>65</v>
      </c>
      <c r="E162" s="101">
        <f>44*1.055</f>
        <v>46.419999999999995</v>
      </c>
      <c r="F162" s="59"/>
      <c r="G162" s="59"/>
      <c r="H162" s="59"/>
      <c r="I162" s="59"/>
      <c r="J162" s="335" t="s">
        <v>170</v>
      </c>
    </row>
    <row r="163" spans="1:10" ht="13.5" hidden="1" customHeight="1" x14ac:dyDescent="0.2">
      <c r="A163" s="325"/>
      <c r="B163" s="323"/>
      <c r="C163" s="87" t="s">
        <v>55</v>
      </c>
      <c r="D163" s="87" t="s">
        <v>79</v>
      </c>
      <c r="E163" s="101">
        <f>35*1.055</f>
        <v>36.924999999999997</v>
      </c>
      <c r="F163" s="59"/>
      <c r="G163" s="59"/>
      <c r="H163" s="59"/>
      <c r="I163" s="59"/>
      <c r="J163" s="335"/>
    </row>
    <row r="164" spans="1:10" ht="13.5" hidden="1" customHeight="1" x14ac:dyDescent="0.2">
      <c r="A164" s="325" t="s">
        <v>207</v>
      </c>
      <c r="B164" s="323" t="s">
        <v>208</v>
      </c>
      <c r="C164" s="87" t="s">
        <v>53</v>
      </c>
      <c r="D164" s="87" t="s">
        <v>65</v>
      </c>
      <c r="E164" s="101">
        <f t="shared" ref="E164:E171" si="5">44*1.055</f>
        <v>46.419999999999995</v>
      </c>
      <c r="F164" s="59"/>
      <c r="G164" s="59"/>
      <c r="H164" s="59"/>
      <c r="I164" s="59"/>
      <c r="J164" s="335" t="s">
        <v>170</v>
      </c>
    </row>
    <row r="165" spans="1:10" ht="13.5" hidden="1" customHeight="1" x14ac:dyDescent="0.2">
      <c r="A165" s="325"/>
      <c r="B165" s="323"/>
      <c r="C165" s="87" t="s">
        <v>55</v>
      </c>
      <c r="D165" s="87" t="s">
        <v>79</v>
      </c>
      <c r="E165" s="101">
        <f>35*1.055</f>
        <v>36.924999999999997</v>
      </c>
      <c r="F165" s="59"/>
      <c r="G165" s="59"/>
      <c r="H165" s="59"/>
      <c r="I165" s="59"/>
      <c r="J165" s="335"/>
    </row>
    <row r="166" spans="1:10" ht="20.25" hidden="1" customHeight="1" x14ac:dyDescent="0.2">
      <c r="A166" s="325" t="s">
        <v>209</v>
      </c>
      <c r="B166" s="323" t="s">
        <v>117</v>
      </c>
      <c r="C166" s="87" t="s">
        <v>53</v>
      </c>
      <c r="D166" s="87" t="s">
        <v>65</v>
      </c>
      <c r="E166" s="101">
        <f>55*1.055</f>
        <v>58.024999999999999</v>
      </c>
      <c r="F166" s="59"/>
      <c r="G166" s="59"/>
      <c r="H166" s="59"/>
      <c r="I166" s="59"/>
      <c r="J166" s="335" t="s">
        <v>170</v>
      </c>
    </row>
    <row r="167" spans="1:10" ht="24.75" hidden="1" customHeight="1" x14ac:dyDescent="0.2">
      <c r="A167" s="325"/>
      <c r="B167" s="323"/>
      <c r="C167" s="87" t="s">
        <v>55</v>
      </c>
      <c r="D167" s="87" t="s">
        <v>79</v>
      </c>
      <c r="E167" s="101">
        <f t="shared" si="5"/>
        <v>46.419999999999995</v>
      </c>
      <c r="F167" s="59"/>
      <c r="G167" s="59"/>
      <c r="H167" s="59"/>
      <c r="I167" s="59"/>
      <c r="J167" s="335"/>
    </row>
    <row r="168" spans="1:10" ht="13.5" hidden="1" customHeight="1" x14ac:dyDescent="0.2">
      <c r="A168" s="325" t="s">
        <v>210</v>
      </c>
      <c r="B168" s="323" t="s">
        <v>90</v>
      </c>
      <c r="C168" s="87" t="s">
        <v>53</v>
      </c>
      <c r="D168" s="87" t="s">
        <v>65</v>
      </c>
      <c r="E168" s="101">
        <f>55*1.055</f>
        <v>58.024999999999999</v>
      </c>
      <c r="F168" s="59"/>
      <c r="G168" s="59"/>
      <c r="H168" s="59"/>
      <c r="I168" s="59"/>
      <c r="J168" s="335" t="s">
        <v>170</v>
      </c>
    </row>
    <row r="169" spans="1:10" ht="13.5" hidden="1" customHeight="1" x14ac:dyDescent="0.2">
      <c r="A169" s="325"/>
      <c r="B169" s="323"/>
      <c r="C169" s="87" t="s">
        <v>55</v>
      </c>
      <c r="D169" s="87" t="s">
        <v>79</v>
      </c>
      <c r="E169" s="101">
        <f t="shared" si="5"/>
        <v>46.419999999999995</v>
      </c>
      <c r="F169" s="59"/>
      <c r="G169" s="59"/>
      <c r="H169" s="59"/>
      <c r="I169" s="59"/>
      <c r="J169" s="335"/>
    </row>
    <row r="170" spans="1:10" ht="21.75" hidden="1" customHeight="1" x14ac:dyDescent="0.2">
      <c r="A170" s="325" t="s">
        <v>211</v>
      </c>
      <c r="B170" s="323" t="s">
        <v>212</v>
      </c>
      <c r="C170" s="87" t="s">
        <v>53</v>
      </c>
      <c r="D170" s="87" t="s">
        <v>65</v>
      </c>
      <c r="E170" s="101">
        <f>55*1.055</f>
        <v>58.024999999999999</v>
      </c>
      <c r="F170" s="59"/>
      <c r="G170" s="59"/>
      <c r="H170" s="59"/>
      <c r="I170" s="59"/>
      <c r="J170" s="335" t="s">
        <v>170</v>
      </c>
    </row>
    <row r="171" spans="1:10" ht="21.75" hidden="1" customHeight="1" x14ac:dyDescent="0.2">
      <c r="A171" s="325"/>
      <c r="B171" s="323"/>
      <c r="C171" s="87" t="s">
        <v>55</v>
      </c>
      <c r="D171" s="87" t="s">
        <v>79</v>
      </c>
      <c r="E171" s="101">
        <f t="shared" si="5"/>
        <v>46.419999999999995</v>
      </c>
      <c r="F171" s="59"/>
      <c r="G171" s="59"/>
      <c r="H171" s="59"/>
      <c r="I171" s="59"/>
      <c r="J171" s="335"/>
    </row>
    <row r="172" spans="1:10" ht="13.5" hidden="1" customHeight="1" x14ac:dyDescent="0.2">
      <c r="A172" s="325" t="s">
        <v>203</v>
      </c>
      <c r="B172" s="323" t="s">
        <v>204</v>
      </c>
      <c r="C172" s="87" t="s">
        <v>53</v>
      </c>
      <c r="D172" s="87" t="s">
        <v>102</v>
      </c>
      <c r="E172" s="101">
        <f>41*1.055</f>
        <v>43.254999999999995</v>
      </c>
      <c r="F172" s="59"/>
      <c r="G172" s="59"/>
      <c r="H172" s="59"/>
      <c r="I172" s="59"/>
      <c r="J172" s="335" t="s">
        <v>170</v>
      </c>
    </row>
    <row r="173" spans="1:10" ht="13.5" hidden="1" customHeight="1" x14ac:dyDescent="0.2">
      <c r="A173" s="325"/>
      <c r="B173" s="323"/>
      <c r="C173" s="87" t="s">
        <v>55</v>
      </c>
      <c r="D173" s="87" t="s">
        <v>65</v>
      </c>
      <c r="E173" s="101">
        <f>33*1.055</f>
        <v>34.814999999999998</v>
      </c>
      <c r="F173" s="59"/>
      <c r="G173" s="59"/>
      <c r="H173" s="59"/>
      <c r="I173" s="59"/>
      <c r="J173" s="335"/>
    </row>
    <row r="174" spans="1:10" ht="22.5" hidden="1" customHeight="1" x14ac:dyDescent="0.2">
      <c r="A174" s="325" t="s">
        <v>200</v>
      </c>
      <c r="B174" s="323" t="s">
        <v>199</v>
      </c>
      <c r="C174" s="87" t="s">
        <v>53</v>
      </c>
      <c r="D174" s="87" t="s">
        <v>102</v>
      </c>
      <c r="E174" s="101">
        <f>41*1.055</f>
        <v>43.254999999999995</v>
      </c>
      <c r="F174" s="59"/>
      <c r="G174" s="59"/>
      <c r="H174" s="59"/>
      <c r="I174" s="59"/>
      <c r="J174" s="335" t="s">
        <v>170</v>
      </c>
    </row>
    <row r="175" spans="1:10" ht="23.25" hidden="1" customHeight="1" x14ac:dyDescent="0.2">
      <c r="A175" s="325"/>
      <c r="B175" s="323"/>
      <c r="C175" s="87" t="s">
        <v>55</v>
      </c>
      <c r="D175" s="87" t="s">
        <v>65</v>
      </c>
      <c r="E175" s="101">
        <f>33*1.055</f>
        <v>34.814999999999998</v>
      </c>
      <c r="F175" s="59"/>
      <c r="G175" s="59"/>
      <c r="H175" s="59"/>
      <c r="I175" s="59"/>
      <c r="J175" s="335"/>
    </row>
    <row r="176" spans="1:10" ht="25.5" hidden="1" customHeight="1" x14ac:dyDescent="0.2">
      <c r="A176" s="325" t="s">
        <v>202</v>
      </c>
      <c r="B176" s="323" t="s">
        <v>201</v>
      </c>
      <c r="C176" s="87" t="s">
        <v>53</v>
      </c>
      <c r="D176" s="87" t="s">
        <v>102</v>
      </c>
      <c r="E176" s="101">
        <f>41*1.055</f>
        <v>43.254999999999995</v>
      </c>
      <c r="F176" s="59"/>
      <c r="G176" s="59"/>
      <c r="H176" s="59"/>
      <c r="I176" s="59"/>
      <c r="J176" s="335" t="s">
        <v>170</v>
      </c>
    </row>
    <row r="177" spans="1:10" ht="25.5" hidden="1" customHeight="1" x14ac:dyDescent="0.2">
      <c r="A177" s="325"/>
      <c r="B177" s="323"/>
      <c r="C177" s="60" t="s">
        <v>55</v>
      </c>
      <c r="D177" s="60" t="s">
        <v>65</v>
      </c>
      <c r="E177" s="61">
        <f>33*1.055</f>
        <v>34.814999999999998</v>
      </c>
      <c r="F177" s="62"/>
      <c r="G177" s="62"/>
      <c r="H177" s="62"/>
      <c r="I177" s="62"/>
      <c r="J177" s="335"/>
    </row>
    <row r="178" spans="1:10" ht="25.5" hidden="1" customHeight="1" x14ac:dyDescent="0.2">
      <c r="A178" s="402" t="s">
        <v>51</v>
      </c>
      <c r="B178" s="402"/>
      <c r="C178" s="402"/>
      <c r="D178" s="134"/>
      <c r="E178" s="135"/>
      <c r="F178" s="136"/>
      <c r="G178" s="136"/>
      <c r="H178" s="136"/>
      <c r="I178" s="136"/>
      <c r="J178" s="137"/>
    </row>
    <row r="179" spans="1:10" ht="13.5" hidden="1" thickBot="1" x14ac:dyDescent="0.25">
      <c r="A179" s="63"/>
      <c r="B179" s="64"/>
      <c r="C179" s="65"/>
      <c r="D179" s="65"/>
      <c r="E179" s="66"/>
      <c r="F179" s="67"/>
      <c r="G179" s="67"/>
      <c r="H179" s="67"/>
      <c r="I179" s="67"/>
    </row>
    <row r="180" spans="1:10" ht="64.5" hidden="1" customHeight="1" x14ac:dyDescent="0.2">
      <c r="A180" s="336" t="s">
        <v>1</v>
      </c>
      <c r="B180" s="337"/>
      <c r="C180" s="338" t="s">
        <v>2</v>
      </c>
      <c r="D180" s="338" t="s">
        <v>3</v>
      </c>
      <c r="E180" s="341" t="s">
        <v>4</v>
      </c>
      <c r="F180" s="342"/>
      <c r="G180" s="342"/>
      <c r="H180" s="342"/>
      <c r="I180" s="343"/>
      <c r="J180" s="347" t="s">
        <v>5</v>
      </c>
    </row>
    <row r="181" spans="1:10" ht="30" hidden="1" customHeight="1" x14ac:dyDescent="0.2">
      <c r="A181" s="350" t="s">
        <v>6</v>
      </c>
      <c r="B181" s="352" t="s">
        <v>7</v>
      </c>
      <c r="C181" s="339"/>
      <c r="D181" s="339"/>
      <c r="E181" s="344"/>
      <c r="F181" s="345"/>
      <c r="G181" s="345"/>
      <c r="H181" s="345"/>
      <c r="I181" s="346"/>
      <c r="J181" s="348"/>
    </row>
    <row r="182" spans="1:10" ht="33.75" hidden="1" customHeight="1" thickBot="1" x14ac:dyDescent="0.25">
      <c r="A182" s="351"/>
      <c r="B182" s="340"/>
      <c r="C182" s="340"/>
      <c r="D182" s="340"/>
      <c r="E182" s="68" t="s">
        <v>8</v>
      </c>
      <c r="F182" s="69" t="s">
        <v>9</v>
      </c>
      <c r="G182" s="69" t="s">
        <v>10</v>
      </c>
      <c r="H182" s="69" t="s">
        <v>11</v>
      </c>
      <c r="I182" s="70" t="s">
        <v>12</v>
      </c>
      <c r="J182" s="349"/>
    </row>
    <row r="183" spans="1:10" hidden="1" x14ac:dyDescent="0.2">
      <c r="A183" s="14" t="s">
        <v>13</v>
      </c>
      <c r="B183" s="300" t="s">
        <v>14</v>
      </c>
      <c r="C183" s="300"/>
      <c r="D183" s="300"/>
      <c r="E183" s="300"/>
      <c r="F183" s="300"/>
      <c r="G183" s="300"/>
      <c r="H183" s="300"/>
      <c r="I183" s="300"/>
      <c r="J183" s="300"/>
    </row>
    <row r="184" spans="1:10" ht="15.75" hidden="1" customHeight="1" x14ac:dyDescent="0.2">
      <c r="A184" s="270" t="s">
        <v>27</v>
      </c>
      <c r="B184" s="295" t="s">
        <v>52</v>
      </c>
      <c r="C184" s="90" t="s">
        <v>53</v>
      </c>
      <c r="D184" s="90" t="s">
        <v>138</v>
      </c>
      <c r="E184" s="91">
        <f>1.055*13.75</f>
        <v>14.50625</v>
      </c>
      <c r="F184" s="89">
        <f>1.055*13.13</f>
        <v>13.85215</v>
      </c>
      <c r="G184" s="89">
        <f>1.055*11.45</f>
        <v>12.079749999999999</v>
      </c>
      <c r="H184" s="89"/>
      <c r="I184" s="89"/>
      <c r="J184" s="90" t="s">
        <v>54</v>
      </c>
    </row>
    <row r="185" spans="1:10" hidden="1" x14ac:dyDescent="0.2">
      <c r="A185" s="302"/>
      <c r="B185" s="296"/>
      <c r="C185" s="90" t="s">
        <v>53</v>
      </c>
      <c r="D185" s="90" t="s">
        <v>213</v>
      </c>
      <c r="E185" s="91">
        <f>1.055*13.75</f>
        <v>14.50625</v>
      </c>
      <c r="F185" s="89"/>
      <c r="G185" s="89"/>
      <c r="H185" s="89"/>
      <c r="I185" s="89"/>
      <c r="J185" s="90" t="s">
        <v>54</v>
      </c>
    </row>
    <row r="186" spans="1:10" hidden="1" x14ac:dyDescent="0.2">
      <c r="A186" s="299"/>
      <c r="B186" s="297"/>
      <c r="C186" s="90" t="s">
        <v>55</v>
      </c>
      <c r="D186" s="90" t="s">
        <v>138</v>
      </c>
      <c r="E186" s="91">
        <f>1.055*11</f>
        <v>11.604999999999999</v>
      </c>
      <c r="F186" s="89">
        <f>1.055*10.5</f>
        <v>11.077499999999999</v>
      </c>
      <c r="G186" s="89"/>
      <c r="H186" s="89"/>
      <c r="I186" s="89"/>
      <c r="J186" s="90" t="s">
        <v>54</v>
      </c>
    </row>
    <row r="187" spans="1:10" hidden="1" x14ac:dyDescent="0.2">
      <c r="A187" s="270" t="s">
        <v>33</v>
      </c>
      <c r="B187" s="272" t="s">
        <v>34</v>
      </c>
      <c r="C187" s="90" t="s">
        <v>53</v>
      </c>
      <c r="D187" s="90" t="s">
        <v>138</v>
      </c>
      <c r="E187" s="91">
        <f>1.055*13.75</f>
        <v>14.50625</v>
      </c>
      <c r="F187" s="138"/>
      <c r="G187" s="89">
        <f>1.055*11.45</f>
        <v>12.079749999999999</v>
      </c>
      <c r="H187" s="89"/>
      <c r="I187" s="89"/>
      <c r="J187" s="90" t="s">
        <v>54</v>
      </c>
    </row>
    <row r="188" spans="1:10" hidden="1" x14ac:dyDescent="0.2">
      <c r="A188" s="270"/>
      <c r="B188" s="272"/>
      <c r="C188" s="90" t="s">
        <v>53</v>
      </c>
      <c r="D188" s="90" t="s">
        <v>213</v>
      </c>
      <c r="E188" s="91">
        <f>1.055*13.75</f>
        <v>14.50625</v>
      </c>
      <c r="F188" s="89">
        <f>1.055*13.13</f>
        <v>13.85215</v>
      </c>
      <c r="G188" s="89">
        <f>1.055*11.45</f>
        <v>12.079749999999999</v>
      </c>
      <c r="H188" s="89"/>
      <c r="I188" s="89"/>
      <c r="J188" s="90" t="s">
        <v>54</v>
      </c>
    </row>
    <row r="189" spans="1:10" hidden="1" x14ac:dyDescent="0.2">
      <c r="A189" s="270"/>
      <c r="B189" s="272"/>
      <c r="C189" s="90" t="s">
        <v>55</v>
      </c>
      <c r="D189" s="90" t="s">
        <v>138</v>
      </c>
      <c r="E189" s="91">
        <f>1.055*11</f>
        <v>11.604999999999999</v>
      </c>
      <c r="F189" s="89">
        <f>1.055*10.5</f>
        <v>11.077499999999999</v>
      </c>
      <c r="G189" s="89"/>
      <c r="H189" s="89"/>
      <c r="I189" s="89"/>
      <c r="J189" s="90" t="s">
        <v>54</v>
      </c>
    </row>
    <row r="190" spans="1:10" ht="33.75" hidden="1" customHeight="1" x14ac:dyDescent="0.2">
      <c r="A190" s="85" t="s">
        <v>39</v>
      </c>
      <c r="B190" s="86" t="s">
        <v>40</v>
      </c>
      <c r="C190" s="90" t="s">
        <v>53</v>
      </c>
      <c r="D190" s="90" t="s">
        <v>214</v>
      </c>
      <c r="E190" s="91">
        <f>1.055*13.75</f>
        <v>14.50625</v>
      </c>
      <c r="F190" s="89">
        <f>1.055*13.13</f>
        <v>13.85215</v>
      </c>
      <c r="G190" s="89">
        <f>1.055*11.45</f>
        <v>12.079749999999999</v>
      </c>
      <c r="H190" s="89"/>
      <c r="I190" s="89"/>
      <c r="J190" s="90" t="s">
        <v>54</v>
      </c>
    </row>
    <row r="191" spans="1:10" ht="60" hidden="1" customHeight="1" x14ac:dyDescent="0.2">
      <c r="A191" s="85" t="s">
        <v>42</v>
      </c>
      <c r="B191" s="86" t="s">
        <v>43</v>
      </c>
      <c r="C191" s="90" t="s">
        <v>53</v>
      </c>
      <c r="D191" s="90" t="s">
        <v>214</v>
      </c>
      <c r="E191" s="91">
        <f>1.055*13.75</f>
        <v>14.50625</v>
      </c>
      <c r="F191" s="89">
        <f>1.055*13.13</f>
        <v>13.85215</v>
      </c>
      <c r="G191" s="89">
        <f>1.055*11.45</f>
        <v>12.079749999999999</v>
      </c>
      <c r="H191" s="89"/>
      <c r="I191" s="89"/>
      <c r="J191" s="90" t="s">
        <v>54</v>
      </c>
    </row>
    <row r="192" spans="1:10" ht="23.25" hidden="1" customHeight="1" x14ac:dyDescent="0.2">
      <c r="A192" s="285" t="s">
        <v>24</v>
      </c>
      <c r="B192" s="285" t="s">
        <v>56</v>
      </c>
      <c r="C192" s="90" t="s">
        <v>55</v>
      </c>
      <c r="D192" s="90" t="s">
        <v>138</v>
      </c>
      <c r="E192" s="91">
        <f>1.055*11</f>
        <v>11.604999999999999</v>
      </c>
      <c r="F192" s="89">
        <f>1.055*10.5</f>
        <v>11.077499999999999</v>
      </c>
      <c r="G192" s="89"/>
      <c r="H192" s="89"/>
      <c r="I192" s="89"/>
      <c r="J192" s="90" t="s">
        <v>54</v>
      </c>
    </row>
    <row r="193" spans="1:10" ht="51" hidden="1" x14ac:dyDescent="0.2">
      <c r="A193" s="286"/>
      <c r="B193" s="286"/>
      <c r="C193" s="90" t="s">
        <v>215</v>
      </c>
      <c r="D193" s="90" t="s">
        <v>213</v>
      </c>
      <c r="E193" s="72">
        <f>1.055*13.75</f>
        <v>14.50625</v>
      </c>
      <c r="F193" s="73"/>
      <c r="G193" s="73"/>
      <c r="H193" s="73"/>
      <c r="I193" s="73"/>
      <c r="J193" s="90" t="s">
        <v>54</v>
      </c>
    </row>
    <row r="194" spans="1:10" ht="22.5" hidden="1" customHeight="1" x14ac:dyDescent="0.2">
      <c r="A194" s="287"/>
      <c r="B194" s="287"/>
      <c r="C194" s="90" t="s">
        <v>53</v>
      </c>
      <c r="D194" s="90" t="s">
        <v>138</v>
      </c>
      <c r="E194" s="72">
        <f>1.055*13.75</f>
        <v>14.50625</v>
      </c>
      <c r="F194" s="73">
        <f>1.055*13.13</f>
        <v>13.85215</v>
      </c>
      <c r="G194" s="73"/>
      <c r="H194" s="73"/>
      <c r="I194" s="73"/>
      <c r="J194" s="90"/>
    </row>
    <row r="195" spans="1:10" hidden="1" x14ac:dyDescent="0.2">
      <c r="A195" s="25" t="s">
        <v>16</v>
      </c>
      <c r="B195" s="301" t="s">
        <v>17</v>
      </c>
      <c r="C195" s="301"/>
      <c r="D195" s="301"/>
      <c r="E195" s="301"/>
      <c r="F195" s="301"/>
      <c r="G195" s="301"/>
      <c r="H195" s="301"/>
      <c r="I195" s="301"/>
      <c r="J195" s="301"/>
    </row>
    <row r="196" spans="1:10" ht="25.5" hidden="1" x14ac:dyDescent="0.2">
      <c r="A196" s="102" t="s">
        <v>24</v>
      </c>
      <c r="B196" s="103" t="s">
        <v>56</v>
      </c>
      <c r="C196" s="76" t="s">
        <v>55</v>
      </c>
      <c r="D196" s="76" t="s">
        <v>216</v>
      </c>
      <c r="E196" s="72">
        <f>1.055*11</f>
        <v>11.604999999999999</v>
      </c>
      <c r="F196" s="139"/>
      <c r="G196" s="73">
        <f>1.055*10.5</f>
        <v>11.077499999999999</v>
      </c>
      <c r="H196" s="73"/>
      <c r="I196" s="73"/>
      <c r="J196" s="90" t="s">
        <v>54</v>
      </c>
    </row>
    <row r="197" spans="1:10" hidden="1" x14ac:dyDescent="0.2">
      <c r="A197" s="285" t="s">
        <v>27</v>
      </c>
      <c r="B197" s="295" t="s">
        <v>52</v>
      </c>
      <c r="C197" s="76" t="s">
        <v>53</v>
      </c>
      <c r="D197" s="76" t="s">
        <v>216</v>
      </c>
      <c r="E197" s="72">
        <f>1.055*13.75</f>
        <v>14.50625</v>
      </c>
      <c r="F197" s="139"/>
      <c r="G197" s="73"/>
      <c r="H197" s="73"/>
      <c r="I197" s="73"/>
      <c r="J197" s="90"/>
    </row>
    <row r="198" spans="1:10" ht="51" hidden="1" x14ac:dyDescent="0.2">
      <c r="A198" s="286"/>
      <c r="B198" s="296"/>
      <c r="C198" s="90" t="s">
        <v>215</v>
      </c>
      <c r="D198" s="90" t="s">
        <v>218</v>
      </c>
      <c r="E198" s="72">
        <f>1.055*13.75</f>
        <v>14.50625</v>
      </c>
      <c r="F198" s="139"/>
      <c r="G198" s="73"/>
      <c r="H198" s="73"/>
      <c r="I198" s="73"/>
      <c r="J198" s="90"/>
    </row>
    <row r="199" spans="1:10" ht="15.75" hidden="1" customHeight="1" x14ac:dyDescent="0.2">
      <c r="A199" s="287"/>
      <c r="B199" s="297"/>
      <c r="C199" s="76" t="s">
        <v>55</v>
      </c>
      <c r="D199" s="90" t="s">
        <v>218</v>
      </c>
      <c r="E199" s="72">
        <f>1.055*11</f>
        <v>11.604999999999999</v>
      </c>
      <c r="F199" s="73"/>
      <c r="G199" s="73">
        <f>1.055*10.5</f>
        <v>11.077499999999999</v>
      </c>
      <c r="H199" s="73"/>
      <c r="I199" s="73"/>
      <c r="J199" s="90" t="s">
        <v>54</v>
      </c>
    </row>
    <row r="200" spans="1:10" ht="15.75" hidden="1" customHeight="1" x14ac:dyDescent="0.2">
      <c r="A200" s="298" t="s">
        <v>33</v>
      </c>
      <c r="B200" s="295" t="s">
        <v>34</v>
      </c>
      <c r="C200" s="76" t="s">
        <v>53</v>
      </c>
      <c r="D200" s="76" t="s">
        <v>216</v>
      </c>
      <c r="E200" s="72">
        <f>1.055*13.75</f>
        <v>14.50625</v>
      </c>
      <c r="F200" s="73"/>
      <c r="G200" s="73"/>
      <c r="H200" s="73"/>
      <c r="I200" s="73"/>
      <c r="J200" s="90" t="s">
        <v>54</v>
      </c>
    </row>
    <row r="201" spans="1:10" hidden="1" x14ac:dyDescent="0.2">
      <c r="A201" s="302"/>
      <c r="B201" s="296"/>
      <c r="C201" s="76" t="s">
        <v>55</v>
      </c>
      <c r="D201" s="90" t="s">
        <v>218</v>
      </c>
      <c r="E201" s="72">
        <f>1.055*11</f>
        <v>11.604999999999999</v>
      </c>
      <c r="F201" s="73"/>
      <c r="G201" s="73">
        <f>1.055*10.5</f>
        <v>11.077499999999999</v>
      </c>
      <c r="H201" s="73"/>
      <c r="I201" s="73"/>
      <c r="J201" s="90" t="s">
        <v>54</v>
      </c>
    </row>
    <row r="202" spans="1:10" ht="51" hidden="1" x14ac:dyDescent="0.2">
      <c r="A202" s="299"/>
      <c r="B202" s="297"/>
      <c r="C202" s="90" t="s">
        <v>215</v>
      </c>
      <c r="D202" s="90" t="s">
        <v>218</v>
      </c>
      <c r="E202" s="91">
        <f>1.055*13.75</f>
        <v>14.50625</v>
      </c>
      <c r="F202" s="73"/>
      <c r="G202" s="73"/>
      <c r="H202" s="73"/>
      <c r="I202" s="73"/>
      <c r="J202" s="90" t="s">
        <v>54</v>
      </c>
    </row>
    <row r="203" spans="1:10" hidden="1" x14ac:dyDescent="0.2">
      <c r="A203" s="298" t="s">
        <v>35</v>
      </c>
      <c r="B203" s="295" t="s">
        <v>36</v>
      </c>
      <c r="C203" s="76" t="s">
        <v>53</v>
      </c>
      <c r="D203" s="76" t="s">
        <v>20</v>
      </c>
      <c r="E203" s="72"/>
      <c r="F203" s="73"/>
      <c r="G203" s="73"/>
      <c r="H203" s="73"/>
      <c r="I203" s="73"/>
      <c r="J203" s="90" t="s">
        <v>54</v>
      </c>
    </row>
    <row r="204" spans="1:10" hidden="1" x14ac:dyDescent="0.2">
      <c r="A204" s="299"/>
      <c r="B204" s="297"/>
      <c r="C204" s="76" t="s">
        <v>55</v>
      </c>
      <c r="D204" s="76" t="s">
        <v>38</v>
      </c>
      <c r="E204" s="72"/>
      <c r="F204" s="73"/>
      <c r="G204" s="73"/>
      <c r="H204" s="73"/>
      <c r="I204" s="73"/>
      <c r="J204" s="90" t="s">
        <v>54</v>
      </c>
    </row>
    <row r="205" spans="1:10" hidden="1" x14ac:dyDescent="0.2">
      <c r="A205" s="270" t="s">
        <v>42</v>
      </c>
      <c r="B205" s="272" t="s">
        <v>43</v>
      </c>
      <c r="C205" s="76" t="s">
        <v>53</v>
      </c>
      <c r="D205" s="76" t="s">
        <v>217</v>
      </c>
      <c r="E205" s="72">
        <f>1.055*13.75</f>
        <v>14.50625</v>
      </c>
      <c r="F205" s="73"/>
      <c r="G205" s="73"/>
      <c r="H205" s="73"/>
      <c r="I205" s="73"/>
      <c r="J205" s="90" t="s">
        <v>54</v>
      </c>
    </row>
    <row r="206" spans="1:10" hidden="1" x14ac:dyDescent="0.2">
      <c r="A206" s="270"/>
      <c r="B206" s="272"/>
      <c r="C206" s="76" t="s">
        <v>55</v>
      </c>
      <c r="D206" s="76" t="s">
        <v>214</v>
      </c>
      <c r="E206" s="72">
        <f>1.055*11</f>
        <v>11.604999999999999</v>
      </c>
      <c r="F206" s="73"/>
      <c r="G206" s="73">
        <f>1.055*10.5</f>
        <v>11.077499999999999</v>
      </c>
      <c r="H206" s="73"/>
      <c r="I206" s="73"/>
      <c r="J206" s="90" t="s">
        <v>54</v>
      </c>
    </row>
    <row r="207" spans="1:10" ht="33.75" hidden="1" customHeight="1" x14ac:dyDescent="0.2">
      <c r="A207" s="85" t="s">
        <v>39</v>
      </c>
      <c r="B207" s="86" t="s">
        <v>40</v>
      </c>
      <c r="C207" s="76" t="s">
        <v>53</v>
      </c>
      <c r="D207" s="76" t="s">
        <v>217</v>
      </c>
      <c r="E207" s="72">
        <f>1.055*13.75</f>
        <v>14.50625</v>
      </c>
      <c r="F207" s="73"/>
      <c r="G207" s="73">
        <f>1.055*11.45</f>
        <v>12.079749999999999</v>
      </c>
      <c r="H207" s="73"/>
      <c r="I207" s="73"/>
      <c r="J207" s="90" t="s">
        <v>54</v>
      </c>
    </row>
    <row r="208" spans="1:10" hidden="1" x14ac:dyDescent="0.2"/>
    <row r="209" spans="1:15" x14ac:dyDescent="0.2">
      <c r="A209" s="1" t="s">
        <v>60</v>
      </c>
      <c r="B209" s="8"/>
      <c r="C209" s="9"/>
      <c r="D209" s="9"/>
      <c r="E209" s="10"/>
      <c r="F209" s="11"/>
      <c r="G209" s="11"/>
      <c r="H209" s="11"/>
      <c r="I209" s="11"/>
    </row>
    <row r="210" spans="1:15" x14ac:dyDescent="0.2">
      <c r="A210" s="1"/>
      <c r="B210" s="8"/>
      <c r="C210" s="9"/>
      <c r="D210" s="9"/>
      <c r="E210" s="10"/>
      <c r="F210" s="11"/>
      <c r="G210" s="11"/>
      <c r="H210" s="11"/>
      <c r="I210" s="11"/>
    </row>
    <row r="211" spans="1:15" ht="46.5" customHeight="1" x14ac:dyDescent="0.2">
      <c r="A211" s="320" t="s">
        <v>1</v>
      </c>
      <c r="B211" s="320"/>
      <c r="C211" s="320" t="s">
        <v>2</v>
      </c>
      <c r="D211" s="320" t="s">
        <v>3</v>
      </c>
      <c r="E211" s="320" t="s">
        <v>4</v>
      </c>
      <c r="F211" s="320"/>
      <c r="G211" s="320"/>
      <c r="H211" s="320"/>
      <c r="I211" s="320"/>
      <c r="J211" s="320" t="s">
        <v>5</v>
      </c>
    </row>
    <row r="212" spans="1:15" x14ac:dyDescent="0.2">
      <c r="A212" s="321" t="s">
        <v>6</v>
      </c>
      <c r="B212" s="320" t="s">
        <v>7</v>
      </c>
      <c r="C212" s="320"/>
      <c r="D212" s="320"/>
      <c r="E212" s="320"/>
      <c r="F212" s="320"/>
      <c r="G212" s="320"/>
      <c r="H212" s="320"/>
      <c r="I212" s="320"/>
      <c r="J212" s="320"/>
    </row>
    <row r="213" spans="1:15" ht="18" customHeight="1" x14ac:dyDescent="0.2">
      <c r="A213" s="321"/>
      <c r="B213" s="320"/>
      <c r="C213" s="320"/>
      <c r="D213" s="320"/>
      <c r="E213" s="170" t="s">
        <v>8</v>
      </c>
      <c r="F213" s="171" t="s">
        <v>9</v>
      </c>
      <c r="G213" s="171" t="s">
        <v>10</v>
      </c>
      <c r="H213" s="171" t="s">
        <v>11</v>
      </c>
      <c r="I213" s="171" t="s">
        <v>12</v>
      </c>
      <c r="J213" s="320"/>
    </row>
    <row r="214" spans="1:15" ht="17.25" customHeight="1" x14ac:dyDescent="0.2">
      <c r="A214" s="169" t="s">
        <v>231</v>
      </c>
      <c r="B214" s="403" t="s">
        <v>230</v>
      </c>
      <c r="C214" s="403"/>
      <c r="D214" s="403"/>
      <c r="E214" s="403"/>
      <c r="F214" s="403"/>
      <c r="G214" s="403"/>
      <c r="H214" s="403"/>
      <c r="I214" s="403"/>
      <c r="J214" s="403"/>
      <c r="L214" s="129">
        <v>1.0640000000000001</v>
      </c>
    </row>
    <row r="215" spans="1:15" ht="16.5" customHeight="1" x14ac:dyDescent="0.2">
      <c r="A215" s="25" t="s">
        <v>13</v>
      </c>
      <c r="B215" s="301" t="s">
        <v>14</v>
      </c>
      <c r="C215" s="301"/>
      <c r="D215" s="301"/>
      <c r="E215" s="301"/>
      <c r="F215" s="301"/>
      <c r="G215" s="301"/>
      <c r="H215" s="301"/>
      <c r="I215" s="301"/>
      <c r="J215" s="301"/>
      <c r="L215" s="129">
        <f>E216*$L$214</f>
        <v>25.919040000000003</v>
      </c>
      <c r="M215" s="129">
        <f t="shared" ref="M215:O215" si="6">F216*$L$214</f>
        <v>23.64208</v>
      </c>
      <c r="N215" s="129">
        <f t="shared" si="6"/>
        <v>16.045120000000001</v>
      </c>
      <c r="O215" s="129">
        <f t="shared" si="6"/>
        <v>0</v>
      </c>
    </row>
    <row r="216" spans="1:15" ht="25.5" x14ac:dyDescent="0.2">
      <c r="A216" s="198" t="s">
        <v>219</v>
      </c>
      <c r="B216" s="199" t="s">
        <v>220</v>
      </c>
      <c r="C216" s="196" t="s">
        <v>53</v>
      </c>
      <c r="D216" s="196" t="s">
        <v>214</v>
      </c>
      <c r="E216" s="197">
        <v>24.36</v>
      </c>
      <c r="F216" s="197">
        <v>22.22</v>
      </c>
      <c r="G216" s="196">
        <v>15.08</v>
      </c>
      <c r="H216" s="202"/>
      <c r="I216" s="202"/>
      <c r="J216" s="196" t="s">
        <v>242</v>
      </c>
    </row>
    <row r="217" spans="1:15" ht="30.75" customHeight="1" x14ac:dyDescent="0.2">
      <c r="A217" s="198" t="s">
        <v>39</v>
      </c>
      <c r="B217" s="199" t="s">
        <v>40</v>
      </c>
      <c r="C217" s="196" t="s">
        <v>53</v>
      </c>
      <c r="D217" s="196" t="s">
        <v>214</v>
      </c>
      <c r="E217" s="203">
        <v>24.36</v>
      </c>
      <c r="F217" s="204">
        <v>22.22</v>
      </c>
      <c r="G217" s="196">
        <v>15.08</v>
      </c>
      <c r="H217" s="196"/>
      <c r="I217" s="200"/>
      <c r="J217" s="196" t="s">
        <v>242</v>
      </c>
    </row>
    <row r="218" spans="1:15" ht="25.5" x14ac:dyDescent="0.2">
      <c r="A218" s="198" t="s">
        <v>42</v>
      </c>
      <c r="B218" s="199" t="s">
        <v>43</v>
      </c>
      <c r="C218" s="196" t="s">
        <v>53</v>
      </c>
      <c r="D218" s="196" t="s">
        <v>214</v>
      </c>
      <c r="E218" s="204">
        <v>24.36</v>
      </c>
      <c r="F218" s="204">
        <v>21.21</v>
      </c>
      <c r="G218" s="196">
        <v>15.08</v>
      </c>
      <c r="H218" s="196"/>
      <c r="I218" s="200"/>
      <c r="J218" s="196" t="s">
        <v>242</v>
      </c>
    </row>
    <row r="219" spans="1:15" ht="29.25" customHeight="1" x14ac:dyDescent="0.2">
      <c r="A219" s="198" t="s">
        <v>45</v>
      </c>
      <c r="B219" s="199" t="s">
        <v>58</v>
      </c>
      <c r="C219" s="196" t="s">
        <v>53</v>
      </c>
      <c r="D219" s="196" t="s">
        <v>214</v>
      </c>
      <c r="E219" s="204">
        <v>24.36</v>
      </c>
      <c r="F219" s="204">
        <v>21.21</v>
      </c>
      <c r="G219" s="196">
        <v>15.08</v>
      </c>
      <c r="H219" s="196"/>
      <c r="I219" s="200"/>
      <c r="J219" s="196" t="s">
        <v>242</v>
      </c>
    </row>
    <row r="220" spans="1:15" ht="51" x14ac:dyDescent="0.2">
      <c r="A220" s="198" t="s">
        <v>61</v>
      </c>
      <c r="B220" s="199" t="s">
        <v>57</v>
      </c>
      <c r="C220" s="196" t="s">
        <v>53</v>
      </c>
      <c r="D220" s="196" t="s">
        <v>214</v>
      </c>
      <c r="E220" s="203">
        <v>26.17</v>
      </c>
      <c r="F220" s="203">
        <v>23.8</v>
      </c>
      <c r="G220" s="197">
        <v>15.08</v>
      </c>
      <c r="H220" s="197"/>
      <c r="I220" s="197"/>
      <c r="J220" s="196" t="s">
        <v>242</v>
      </c>
    </row>
    <row r="221" spans="1:15" ht="25.5" x14ac:dyDescent="0.2">
      <c r="A221" s="198" t="s">
        <v>24</v>
      </c>
      <c r="B221" s="199" t="s">
        <v>56</v>
      </c>
      <c r="C221" s="196" t="s">
        <v>53</v>
      </c>
      <c r="D221" s="196" t="s">
        <v>213</v>
      </c>
      <c r="E221" s="203">
        <v>23.19</v>
      </c>
      <c r="F221" s="203">
        <v>21.66</v>
      </c>
      <c r="G221" s="197">
        <v>15.08</v>
      </c>
      <c r="H221" s="197"/>
      <c r="I221" s="197"/>
      <c r="J221" s="196" t="s">
        <v>242</v>
      </c>
    </row>
    <row r="222" spans="1:15" ht="38.25" x14ac:dyDescent="0.2">
      <c r="A222" s="198" t="s">
        <v>27</v>
      </c>
      <c r="B222" s="199" t="s">
        <v>52</v>
      </c>
      <c r="C222" s="196" t="s">
        <v>53</v>
      </c>
      <c r="D222" s="196" t="s">
        <v>213</v>
      </c>
      <c r="E222" s="203">
        <v>23.19</v>
      </c>
      <c r="F222" s="203">
        <v>21.66</v>
      </c>
      <c r="G222" s="197">
        <v>15.08</v>
      </c>
      <c r="H222" s="197"/>
      <c r="I222" s="197"/>
      <c r="J222" s="196" t="s">
        <v>242</v>
      </c>
    </row>
    <row r="223" spans="1:15" ht="25.5" x14ac:dyDescent="0.2">
      <c r="A223" s="198" t="s">
        <v>31</v>
      </c>
      <c r="B223" s="199" t="s">
        <v>32</v>
      </c>
      <c r="C223" s="196" t="s">
        <v>53</v>
      </c>
      <c r="D223" s="196" t="s">
        <v>213</v>
      </c>
      <c r="E223" s="203">
        <v>23.19</v>
      </c>
      <c r="F223" s="203">
        <v>21.66</v>
      </c>
      <c r="G223" s="197">
        <v>15.08</v>
      </c>
      <c r="H223" s="197"/>
      <c r="I223" s="197"/>
      <c r="J223" s="196" t="s">
        <v>242</v>
      </c>
    </row>
    <row r="224" spans="1:15" ht="31.5" customHeight="1" x14ac:dyDescent="0.2">
      <c r="A224" s="198" t="s">
        <v>33</v>
      </c>
      <c r="B224" s="198" t="s">
        <v>34</v>
      </c>
      <c r="C224" s="201" t="s">
        <v>53</v>
      </c>
      <c r="D224" s="201" t="s">
        <v>213</v>
      </c>
      <c r="E224" s="203">
        <v>23.19</v>
      </c>
      <c r="F224" s="203">
        <v>21.66</v>
      </c>
      <c r="G224" s="197">
        <v>15.08</v>
      </c>
      <c r="H224" s="197"/>
      <c r="I224" s="197"/>
      <c r="J224" s="196" t="s">
        <v>242</v>
      </c>
      <c r="L224" s="129">
        <f>E224*$L$214</f>
        <v>24.674160000000004</v>
      </c>
      <c r="M224" s="129">
        <f t="shared" ref="M224:N224" si="7">F224*$L$214</f>
        <v>23.046240000000001</v>
      </c>
      <c r="N224" s="129">
        <f t="shared" si="7"/>
        <v>16.045120000000001</v>
      </c>
    </row>
    <row r="225" spans="1:10" s="195" customFormat="1" ht="31.5" customHeight="1" x14ac:dyDescent="0.2">
      <c r="A225" s="198" t="s">
        <v>35</v>
      </c>
      <c r="B225" s="198" t="s">
        <v>36</v>
      </c>
      <c r="C225" s="201" t="s">
        <v>53</v>
      </c>
      <c r="D225" s="196" t="s">
        <v>217</v>
      </c>
      <c r="E225" s="203">
        <v>21.06</v>
      </c>
      <c r="F225" s="203">
        <v>21.06</v>
      </c>
      <c r="G225" s="197"/>
      <c r="H225" s="197"/>
      <c r="I225" s="197"/>
      <c r="J225" s="196" t="s">
        <v>242</v>
      </c>
    </row>
    <row r="226" spans="1:10" ht="16.5" customHeight="1" x14ac:dyDescent="0.2">
      <c r="A226" s="194" t="s">
        <v>16</v>
      </c>
      <c r="B226" s="259" t="s">
        <v>17</v>
      </c>
      <c r="C226" s="260"/>
      <c r="D226" s="260"/>
      <c r="E226" s="260"/>
      <c r="F226" s="260"/>
      <c r="G226" s="260"/>
      <c r="H226" s="260"/>
      <c r="I226" s="260"/>
      <c r="J226" s="261"/>
    </row>
    <row r="227" spans="1:10" ht="25.5" x14ac:dyDescent="0.2">
      <c r="A227" s="207" t="s">
        <v>219</v>
      </c>
      <c r="B227" s="210" t="s">
        <v>220</v>
      </c>
      <c r="C227" s="205" t="s">
        <v>53</v>
      </c>
      <c r="D227" s="205" t="s">
        <v>217</v>
      </c>
      <c r="E227" s="205">
        <v>24.36</v>
      </c>
      <c r="F227" s="216">
        <v>23.46</v>
      </c>
      <c r="G227" s="205"/>
      <c r="H227" s="205"/>
      <c r="I227" s="205"/>
      <c r="J227" s="205" t="s">
        <v>242</v>
      </c>
    </row>
    <row r="228" spans="1:10" ht="18.75" customHeight="1" x14ac:dyDescent="0.2">
      <c r="A228" s="207" t="s">
        <v>39</v>
      </c>
      <c r="B228" s="210" t="s">
        <v>40</v>
      </c>
      <c r="C228" s="205" t="s">
        <v>53</v>
      </c>
      <c r="D228" s="205" t="s">
        <v>217</v>
      </c>
      <c r="E228" s="205">
        <v>24.36</v>
      </c>
      <c r="F228" s="216">
        <v>23.46</v>
      </c>
      <c r="G228" s="206"/>
      <c r="H228" s="206"/>
      <c r="I228" s="206"/>
      <c r="J228" s="205" t="s">
        <v>242</v>
      </c>
    </row>
    <row r="229" spans="1:10" ht="12.75" customHeight="1" x14ac:dyDescent="0.2">
      <c r="A229" s="270" t="s">
        <v>42</v>
      </c>
      <c r="B229" s="272" t="s">
        <v>43</v>
      </c>
      <c r="C229" s="205" t="s">
        <v>53</v>
      </c>
      <c r="D229" s="205" t="s">
        <v>217</v>
      </c>
      <c r="E229" s="206">
        <v>24.36</v>
      </c>
      <c r="F229" s="216">
        <v>23.46</v>
      </c>
      <c r="G229" s="206"/>
      <c r="H229" s="213"/>
      <c r="I229" s="213"/>
      <c r="J229" s="269" t="s">
        <v>242</v>
      </c>
    </row>
    <row r="230" spans="1:10" x14ac:dyDescent="0.2">
      <c r="A230" s="270"/>
      <c r="B230" s="272"/>
      <c r="C230" s="205" t="s">
        <v>55</v>
      </c>
      <c r="D230" s="205" t="s">
        <v>214</v>
      </c>
      <c r="E230" s="206">
        <v>16.7</v>
      </c>
      <c r="F230" s="216">
        <v>16.05</v>
      </c>
      <c r="G230" s="206">
        <v>13.2</v>
      </c>
      <c r="H230" s="212"/>
      <c r="I230" s="212"/>
      <c r="J230" s="269"/>
    </row>
    <row r="231" spans="1:10" x14ac:dyDescent="0.2">
      <c r="A231" s="207" t="s">
        <v>45</v>
      </c>
      <c r="B231" s="210" t="s">
        <v>58</v>
      </c>
      <c r="C231" s="205" t="s">
        <v>53</v>
      </c>
      <c r="D231" s="205" t="s">
        <v>217</v>
      </c>
      <c r="E231" s="206">
        <v>24.36</v>
      </c>
      <c r="F231" s="216">
        <v>23.46</v>
      </c>
      <c r="G231" s="206"/>
      <c r="H231" s="212"/>
      <c r="I231" s="212"/>
      <c r="J231" s="205" t="s">
        <v>242</v>
      </c>
    </row>
    <row r="232" spans="1:10" ht="51" x14ac:dyDescent="0.2">
      <c r="A232" s="214" t="s">
        <v>61</v>
      </c>
      <c r="B232" s="210" t="s">
        <v>57</v>
      </c>
      <c r="C232" s="211" t="s">
        <v>53</v>
      </c>
      <c r="D232" s="211" t="s">
        <v>222</v>
      </c>
      <c r="E232" s="206">
        <v>26.17</v>
      </c>
      <c r="F232" s="216">
        <v>27.61</v>
      </c>
      <c r="G232" s="206"/>
      <c r="H232" s="215"/>
      <c r="I232" s="215"/>
      <c r="J232" s="205" t="s">
        <v>242</v>
      </c>
    </row>
    <row r="233" spans="1:10" x14ac:dyDescent="0.2">
      <c r="A233" s="270" t="s">
        <v>27</v>
      </c>
      <c r="B233" s="272" t="s">
        <v>52</v>
      </c>
      <c r="C233" s="205" t="s">
        <v>53</v>
      </c>
      <c r="D233" s="205" t="s">
        <v>221</v>
      </c>
      <c r="E233" s="206">
        <v>23.19</v>
      </c>
      <c r="F233" s="216">
        <v>21.66</v>
      </c>
      <c r="G233" s="206"/>
      <c r="H233" s="212"/>
      <c r="I233" s="212"/>
      <c r="J233" s="269" t="s">
        <v>242</v>
      </c>
    </row>
    <row r="234" spans="1:10" x14ac:dyDescent="0.2">
      <c r="A234" s="270"/>
      <c r="B234" s="272"/>
      <c r="C234" s="205" t="s">
        <v>55</v>
      </c>
      <c r="D234" s="205" t="s">
        <v>218</v>
      </c>
      <c r="E234" s="206">
        <v>16.38</v>
      </c>
      <c r="F234" s="206">
        <v>15.26</v>
      </c>
      <c r="G234" s="206">
        <v>12.72</v>
      </c>
      <c r="H234" s="212"/>
      <c r="I234" s="212"/>
      <c r="J234" s="269"/>
    </row>
    <row r="235" spans="1:10" x14ac:dyDescent="0.2">
      <c r="A235" s="270" t="s">
        <v>31</v>
      </c>
      <c r="B235" s="272" t="s">
        <v>32</v>
      </c>
      <c r="C235" s="205" t="s">
        <v>53</v>
      </c>
      <c r="D235" s="205" t="s">
        <v>243</v>
      </c>
      <c r="E235" s="206">
        <v>23.19</v>
      </c>
      <c r="F235" s="206">
        <v>21.66</v>
      </c>
      <c r="G235" s="206"/>
      <c r="H235" s="212"/>
      <c r="I235" s="212"/>
      <c r="J235" s="269" t="s">
        <v>242</v>
      </c>
    </row>
    <row r="236" spans="1:10" x14ac:dyDescent="0.2">
      <c r="A236" s="270"/>
      <c r="B236" s="272"/>
      <c r="C236" s="205" t="s">
        <v>55</v>
      </c>
      <c r="D236" s="205" t="s">
        <v>218</v>
      </c>
      <c r="E236" s="206">
        <v>16.38</v>
      </c>
      <c r="F236" s="206">
        <v>15.26</v>
      </c>
      <c r="G236" s="206">
        <v>12.72</v>
      </c>
      <c r="H236" s="212"/>
      <c r="I236" s="212"/>
      <c r="J236" s="269"/>
    </row>
    <row r="237" spans="1:10" ht="16.5" customHeight="1" x14ac:dyDescent="0.2">
      <c r="A237" s="270" t="s">
        <v>33</v>
      </c>
      <c r="B237" s="272" t="s">
        <v>34</v>
      </c>
      <c r="C237" s="205" t="s">
        <v>53</v>
      </c>
      <c r="D237" s="205" t="s">
        <v>243</v>
      </c>
      <c r="E237" s="206">
        <v>23.19</v>
      </c>
      <c r="F237" s="206">
        <v>21.66</v>
      </c>
      <c r="G237" s="206"/>
      <c r="H237" s="212"/>
      <c r="I237" s="212"/>
      <c r="J237" s="269" t="s">
        <v>242</v>
      </c>
    </row>
    <row r="238" spans="1:10" x14ac:dyDescent="0.2">
      <c r="A238" s="270"/>
      <c r="B238" s="272"/>
      <c r="C238" s="205" t="s">
        <v>55</v>
      </c>
      <c r="D238" s="205" t="s">
        <v>218</v>
      </c>
      <c r="E238" s="206">
        <v>16.38</v>
      </c>
      <c r="F238" s="206">
        <v>15.26</v>
      </c>
      <c r="G238" s="206">
        <v>12.72</v>
      </c>
      <c r="H238" s="212"/>
      <c r="I238" s="212"/>
      <c r="J238" s="269"/>
    </row>
    <row r="239" spans="1:10" x14ac:dyDescent="0.2">
      <c r="A239" s="270" t="s">
        <v>35</v>
      </c>
      <c r="B239" s="272" t="s">
        <v>36</v>
      </c>
      <c r="C239" s="205" t="s">
        <v>53</v>
      </c>
      <c r="D239" s="205" t="s">
        <v>244</v>
      </c>
      <c r="E239" s="206">
        <v>21.06</v>
      </c>
      <c r="F239" s="206"/>
      <c r="G239" s="206"/>
      <c r="H239" s="212"/>
      <c r="I239" s="212"/>
      <c r="J239" s="269" t="s">
        <v>242</v>
      </c>
    </row>
    <row r="240" spans="1:10" x14ac:dyDescent="0.2">
      <c r="A240" s="270"/>
      <c r="B240" s="272"/>
      <c r="C240" s="205" t="s">
        <v>55</v>
      </c>
      <c r="D240" s="205" t="s">
        <v>217</v>
      </c>
      <c r="E240" s="206">
        <v>14.78</v>
      </c>
      <c r="F240" s="206">
        <v>14.48</v>
      </c>
      <c r="G240" s="206"/>
      <c r="H240" s="212"/>
      <c r="I240" s="212"/>
      <c r="J240" s="269"/>
    </row>
  </sheetData>
  <mergeCells count="302">
    <mergeCell ref="B226:J226"/>
    <mergeCell ref="A229:A230"/>
    <mergeCell ref="B229:B230"/>
    <mergeCell ref="J229:J230"/>
    <mergeCell ref="A237:A238"/>
    <mergeCell ref="B237:B238"/>
    <mergeCell ref="D211:D213"/>
    <mergeCell ref="E211:I212"/>
    <mergeCell ref="J211:J213"/>
    <mergeCell ref="A212:A213"/>
    <mergeCell ref="B212:B213"/>
    <mergeCell ref="B215:J215"/>
    <mergeCell ref="J237:J238"/>
    <mergeCell ref="A203:A204"/>
    <mergeCell ref="B203:B204"/>
    <mergeCell ref="A205:A206"/>
    <mergeCell ref="B205:B206"/>
    <mergeCell ref="A211:B211"/>
    <mergeCell ref="C211:C213"/>
    <mergeCell ref="B214:J214"/>
    <mergeCell ref="A192:A194"/>
    <mergeCell ref="B192:B194"/>
    <mergeCell ref="B195:J195"/>
    <mergeCell ref="A197:A199"/>
    <mergeCell ref="B197:B199"/>
    <mergeCell ref="A200:A202"/>
    <mergeCell ref="B200:B202"/>
    <mergeCell ref="B181:B182"/>
    <mergeCell ref="B183:J183"/>
    <mergeCell ref="A184:A186"/>
    <mergeCell ref="B184:B186"/>
    <mergeCell ref="A187:A189"/>
    <mergeCell ref="B187:B189"/>
    <mergeCell ref="A176:A177"/>
    <mergeCell ref="B176:B177"/>
    <mergeCell ref="J176:J177"/>
    <mergeCell ref="A178:C178"/>
    <mergeCell ref="A180:B180"/>
    <mergeCell ref="C180:C182"/>
    <mergeCell ref="D180:D182"/>
    <mergeCell ref="E180:I181"/>
    <mergeCell ref="J180:J182"/>
    <mergeCell ref="A181:A182"/>
    <mergeCell ref="A172:A173"/>
    <mergeCell ref="B172:B173"/>
    <mergeCell ref="J172:J173"/>
    <mergeCell ref="A174:A175"/>
    <mergeCell ref="B174:B175"/>
    <mergeCell ref="J174:J175"/>
    <mergeCell ref="A168:A169"/>
    <mergeCell ref="B168:B169"/>
    <mergeCell ref="J168:J169"/>
    <mergeCell ref="A170:A171"/>
    <mergeCell ref="B170:B171"/>
    <mergeCell ref="J170:J171"/>
    <mergeCell ref="A164:A165"/>
    <mergeCell ref="B164:B165"/>
    <mergeCell ref="J164:J165"/>
    <mergeCell ref="A166:A167"/>
    <mergeCell ref="B166:B167"/>
    <mergeCell ref="J166:J167"/>
    <mergeCell ref="A160:A161"/>
    <mergeCell ref="B160:B161"/>
    <mergeCell ref="J160:J161"/>
    <mergeCell ref="A162:A163"/>
    <mergeCell ref="B162:B163"/>
    <mergeCell ref="J162:J163"/>
    <mergeCell ref="A156:A157"/>
    <mergeCell ref="B156:B157"/>
    <mergeCell ref="J156:J157"/>
    <mergeCell ref="A158:A159"/>
    <mergeCell ref="B158:B159"/>
    <mergeCell ref="J158:J159"/>
    <mergeCell ref="A152:A153"/>
    <mergeCell ref="B152:B153"/>
    <mergeCell ref="J152:J153"/>
    <mergeCell ref="A154:A155"/>
    <mergeCell ref="B154:B155"/>
    <mergeCell ref="J154:J155"/>
    <mergeCell ref="A142:A144"/>
    <mergeCell ref="B142:B144"/>
    <mergeCell ref="C142:C144"/>
    <mergeCell ref="D142:D144"/>
    <mergeCell ref="B151:J151"/>
    <mergeCell ref="A134:A137"/>
    <mergeCell ref="B134:B137"/>
    <mergeCell ref="C135:C137"/>
    <mergeCell ref="J135:J137"/>
    <mergeCell ref="E136:E137"/>
    <mergeCell ref="F136:F137"/>
    <mergeCell ref="G136:G137"/>
    <mergeCell ref="H136:H137"/>
    <mergeCell ref="I136:I137"/>
    <mergeCell ref="J119:J124"/>
    <mergeCell ref="C120:C122"/>
    <mergeCell ref="E121:E122"/>
    <mergeCell ref="F121:F122"/>
    <mergeCell ref="G121:G122"/>
    <mergeCell ref="H121:H122"/>
    <mergeCell ref="I121:I122"/>
    <mergeCell ref="C123:C124"/>
    <mergeCell ref="B138:J138"/>
    <mergeCell ref="J127:J131"/>
    <mergeCell ref="E128:E129"/>
    <mergeCell ref="F128:F129"/>
    <mergeCell ref="G128:G129"/>
    <mergeCell ref="H128:H129"/>
    <mergeCell ref="I128:I129"/>
    <mergeCell ref="E130:E131"/>
    <mergeCell ref="F130:F131"/>
    <mergeCell ref="G130:G131"/>
    <mergeCell ref="H130:H131"/>
    <mergeCell ref="E123:E124"/>
    <mergeCell ref="F123:F124"/>
    <mergeCell ref="G123:G124"/>
    <mergeCell ref="H123:H124"/>
    <mergeCell ref="I123:I124"/>
    <mergeCell ref="A126:A131"/>
    <mergeCell ref="B126:B131"/>
    <mergeCell ref="C127:C131"/>
    <mergeCell ref="I130:I131"/>
    <mergeCell ref="A118:A124"/>
    <mergeCell ref="B118:B124"/>
    <mergeCell ref="A116:A117"/>
    <mergeCell ref="B116:B117"/>
    <mergeCell ref="A109:A115"/>
    <mergeCell ref="B109:B115"/>
    <mergeCell ref="J110:J115"/>
    <mergeCell ref="C111:C113"/>
    <mergeCell ref="E112:E113"/>
    <mergeCell ref="F112:F113"/>
    <mergeCell ref="G112:G113"/>
    <mergeCell ref="H112:H113"/>
    <mergeCell ref="I112:I113"/>
    <mergeCell ref="C114:C115"/>
    <mergeCell ref="E114:E115"/>
    <mergeCell ref="F114:F115"/>
    <mergeCell ref="G114:G115"/>
    <mergeCell ref="H114:H115"/>
    <mergeCell ref="I114:I115"/>
    <mergeCell ref="B96:J96"/>
    <mergeCell ref="A99:A102"/>
    <mergeCell ref="B99:B102"/>
    <mergeCell ref="J99:J101"/>
    <mergeCell ref="C100:C101"/>
    <mergeCell ref="E100:E101"/>
    <mergeCell ref="F100:F101"/>
    <mergeCell ref="G100:G101"/>
    <mergeCell ref="H100:H101"/>
    <mergeCell ref="I100:I101"/>
    <mergeCell ref="C93:C94"/>
    <mergeCell ref="E93:E94"/>
    <mergeCell ref="F93:F94"/>
    <mergeCell ref="G93:G94"/>
    <mergeCell ref="H93:H94"/>
    <mergeCell ref="I93:I94"/>
    <mergeCell ref="A89:A94"/>
    <mergeCell ref="B89:B94"/>
    <mergeCell ref="J89:J91"/>
    <mergeCell ref="C90:C91"/>
    <mergeCell ref="E90:E91"/>
    <mergeCell ref="F90:F91"/>
    <mergeCell ref="G90:G91"/>
    <mergeCell ref="H90:H91"/>
    <mergeCell ref="I90:I91"/>
    <mergeCell ref="J92:J94"/>
    <mergeCell ref="I82:I83"/>
    <mergeCell ref="J84:J86"/>
    <mergeCell ref="C85:C86"/>
    <mergeCell ref="E85:E86"/>
    <mergeCell ref="F85:F86"/>
    <mergeCell ref="G85:G86"/>
    <mergeCell ref="H85:H86"/>
    <mergeCell ref="I85:I86"/>
    <mergeCell ref="H78:H79"/>
    <mergeCell ref="I78:I79"/>
    <mergeCell ref="E78:E79"/>
    <mergeCell ref="F78:F79"/>
    <mergeCell ref="G78:G79"/>
    <mergeCell ref="A81:A86"/>
    <mergeCell ref="B81:B86"/>
    <mergeCell ref="J81:J83"/>
    <mergeCell ref="C82:C83"/>
    <mergeCell ref="E82:E83"/>
    <mergeCell ref="F82:F83"/>
    <mergeCell ref="G82:G83"/>
    <mergeCell ref="H82:H83"/>
    <mergeCell ref="H72:H73"/>
    <mergeCell ref="I72:I73"/>
    <mergeCell ref="J72:J73"/>
    <mergeCell ref="C75:C79"/>
    <mergeCell ref="J75:J79"/>
    <mergeCell ref="E76:E77"/>
    <mergeCell ref="F76:F77"/>
    <mergeCell ref="G76:G77"/>
    <mergeCell ref="H76:H77"/>
    <mergeCell ref="I76:I77"/>
    <mergeCell ref="A71:A79"/>
    <mergeCell ref="B71:B79"/>
    <mergeCell ref="C71:C73"/>
    <mergeCell ref="E72:E73"/>
    <mergeCell ref="F72:F73"/>
    <mergeCell ref="G72:G73"/>
    <mergeCell ref="C58:C59"/>
    <mergeCell ref="D58:D59"/>
    <mergeCell ref="E58:E59"/>
    <mergeCell ref="F58:F59"/>
    <mergeCell ref="G58:G59"/>
    <mergeCell ref="H58:H59"/>
    <mergeCell ref="A50:A61"/>
    <mergeCell ref="B50:B61"/>
    <mergeCell ref="C51:C53"/>
    <mergeCell ref="C54:C57"/>
    <mergeCell ref="H54:H55"/>
    <mergeCell ref="A67:A69"/>
    <mergeCell ref="B67:B69"/>
    <mergeCell ref="J67:J69"/>
    <mergeCell ref="C68:C69"/>
    <mergeCell ref="E68:E69"/>
    <mergeCell ref="F68:F69"/>
    <mergeCell ref="G68:G69"/>
    <mergeCell ref="H68:H69"/>
    <mergeCell ref="I68:I69"/>
    <mergeCell ref="I54:I55"/>
    <mergeCell ref="E56:E57"/>
    <mergeCell ref="F56:F57"/>
    <mergeCell ref="G56:G57"/>
    <mergeCell ref="H56:H57"/>
    <mergeCell ref="I56:I57"/>
    <mergeCell ref="I48:I49"/>
    <mergeCell ref="J48:J49"/>
    <mergeCell ref="J50:J59"/>
    <mergeCell ref="E54:E55"/>
    <mergeCell ref="F54:F55"/>
    <mergeCell ref="G54:G55"/>
    <mergeCell ref="I58:I59"/>
    <mergeCell ref="H44:H45"/>
    <mergeCell ref="I44:I45"/>
    <mergeCell ref="J44:J45"/>
    <mergeCell ref="A47:A49"/>
    <mergeCell ref="B48:B49"/>
    <mergeCell ref="C48:C49"/>
    <mergeCell ref="E48:E49"/>
    <mergeCell ref="F48:F49"/>
    <mergeCell ref="G48:G49"/>
    <mergeCell ref="H48:H49"/>
    <mergeCell ref="A43:A46"/>
    <mergeCell ref="B43:B46"/>
    <mergeCell ref="C43:C45"/>
    <mergeCell ref="E44:E45"/>
    <mergeCell ref="F44:F45"/>
    <mergeCell ref="G44:G45"/>
    <mergeCell ref="A36:A38"/>
    <mergeCell ref="B36:B38"/>
    <mergeCell ref="A39:B39"/>
    <mergeCell ref="E39:I39"/>
    <mergeCell ref="B40:J40"/>
    <mergeCell ref="B41:J41"/>
    <mergeCell ref="A29:A30"/>
    <mergeCell ref="B29:B30"/>
    <mergeCell ref="J29:J30"/>
    <mergeCell ref="A31:A32"/>
    <mergeCell ref="B31:B32"/>
    <mergeCell ref="A34:A35"/>
    <mergeCell ref="B34:B35"/>
    <mergeCell ref="B22:J22"/>
    <mergeCell ref="A23:A24"/>
    <mergeCell ref="B23:B24"/>
    <mergeCell ref="J23:J24"/>
    <mergeCell ref="A26:A28"/>
    <mergeCell ref="B26:B28"/>
    <mergeCell ref="J26:J28"/>
    <mergeCell ref="A12:A13"/>
    <mergeCell ref="B12:B13"/>
    <mergeCell ref="J12:J13"/>
    <mergeCell ref="A16:A17"/>
    <mergeCell ref="B16:B17"/>
    <mergeCell ref="A18:A20"/>
    <mergeCell ref="B18:B20"/>
    <mergeCell ref="B5:J5"/>
    <mergeCell ref="A6:A7"/>
    <mergeCell ref="B6:B7"/>
    <mergeCell ref="J6:J7"/>
    <mergeCell ref="A9:A11"/>
    <mergeCell ref="B9:B11"/>
    <mergeCell ref="J9:J11"/>
    <mergeCell ref="A2:B2"/>
    <mergeCell ref="C2:C4"/>
    <mergeCell ref="D2:D4"/>
    <mergeCell ref="E2:I3"/>
    <mergeCell ref="J2:J4"/>
    <mergeCell ref="A3:A4"/>
    <mergeCell ref="B3:B4"/>
    <mergeCell ref="A239:A240"/>
    <mergeCell ref="B239:B240"/>
    <mergeCell ref="J239:J240"/>
    <mergeCell ref="A233:A234"/>
    <mergeCell ref="B233:B234"/>
    <mergeCell ref="J233:J234"/>
    <mergeCell ref="A235:A236"/>
    <mergeCell ref="B235:B236"/>
    <mergeCell ref="J235:J236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10" fitToWidth="0" fitToHeight="0" orientation="landscape" useFirstPageNumber="1" r:id="rId1"/>
  <headerFooter>
    <oddHeader>&amp;C&amp;"Times New Roman,обычный"&amp;14&amp;P</oddHeader>
  </headerFooter>
  <rowBreaks count="12" manualBreakCount="12">
    <brk id="14" max="9" man="1"/>
    <brk id="32" max="9" man="1"/>
    <brk id="47" max="9" man="1"/>
    <brk id="64" max="9" man="1"/>
    <brk id="79" max="9" man="1"/>
    <brk id="88" max="9" man="1"/>
    <brk id="104" max="9" man="1"/>
    <brk id="117" max="9" man="1"/>
    <brk id="131" max="9" man="1"/>
    <brk id="140" max="9" man="1"/>
    <brk id="150" max="9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G28" sqref="G28"/>
    </sheetView>
  </sheetViews>
  <sheetFormatPr defaultRowHeight="12.75" x14ac:dyDescent="0.2"/>
  <cols>
    <col min="1" max="1" width="8.85546875" style="1" customWidth="1"/>
    <col min="2" max="2" width="22.7109375" style="2" customWidth="1"/>
    <col min="3" max="3" width="16" style="3" customWidth="1"/>
    <col min="4" max="4" width="15.28515625" style="3" customWidth="1"/>
    <col min="5" max="5" width="9.42578125" style="4" customWidth="1"/>
    <col min="6" max="6" width="9.140625" style="5" customWidth="1"/>
    <col min="7" max="7" width="9" style="5" customWidth="1"/>
    <col min="8" max="9" width="7" style="5" bestFit="1" customWidth="1"/>
    <col min="10" max="10" width="18.28515625" style="3" customWidth="1"/>
    <col min="11" max="16384" width="9.140625" style="3"/>
  </cols>
  <sheetData>
    <row r="1" spans="1:12" ht="9.75" customHeight="1" x14ac:dyDescent="0.2"/>
    <row r="2" spans="1:12" ht="15" customHeight="1" x14ac:dyDescent="0.2">
      <c r="A2" s="1" t="s">
        <v>274</v>
      </c>
      <c r="B2" s="8"/>
      <c r="C2" s="9"/>
      <c r="D2" s="9"/>
      <c r="E2" s="10"/>
      <c r="F2" s="11"/>
      <c r="G2" s="11"/>
      <c r="H2" s="11"/>
      <c r="I2" s="11"/>
    </row>
    <row r="3" spans="1:12" x14ac:dyDescent="0.2">
      <c r="A3" s="63"/>
      <c r="B3" s="64"/>
      <c r="C3" s="65"/>
      <c r="D3" s="65"/>
      <c r="E3" s="66"/>
      <c r="F3" s="67"/>
      <c r="G3" s="67"/>
      <c r="H3" s="67"/>
      <c r="I3" s="67"/>
    </row>
    <row r="4" spans="1:12" ht="45.75" customHeight="1" x14ac:dyDescent="0.2">
      <c r="A4" s="405" t="s">
        <v>1</v>
      </c>
      <c r="B4" s="405"/>
      <c r="C4" s="405" t="s">
        <v>2</v>
      </c>
      <c r="D4" s="405" t="s">
        <v>3</v>
      </c>
      <c r="E4" s="405" t="s">
        <v>4</v>
      </c>
      <c r="F4" s="405"/>
      <c r="G4" s="405"/>
      <c r="H4" s="405"/>
      <c r="I4" s="405"/>
      <c r="J4" s="405" t="s">
        <v>5</v>
      </c>
    </row>
    <row r="5" spans="1:12" ht="13.5" customHeight="1" x14ac:dyDescent="0.2">
      <c r="A5" s="406" t="s">
        <v>6</v>
      </c>
      <c r="B5" s="405" t="s">
        <v>7</v>
      </c>
      <c r="C5" s="405"/>
      <c r="D5" s="405"/>
      <c r="E5" s="405"/>
      <c r="F5" s="405"/>
      <c r="G5" s="405"/>
      <c r="H5" s="405"/>
      <c r="I5" s="405"/>
      <c r="J5" s="405"/>
    </row>
    <row r="6" spans="1:12" ht="21.75" customHeight="1" x14ac:dyDescent="0.2">
      <c r="A6" s="406"/>
      <c r="B6" s="405"/>
      <c r="C6" s="405"/>
      <c r="D6" s="405"/>
      <c r="E6" s="172" t="s">
        <v>8</v>
      </c>
      <c r="F6" s="173" t="s">
        <v>9</v>
      </c>
      <c r="G6" s="173" t="s">
        <v>10</v>
      </c>
      <c r="H6" s="173" t="s">
        <v>11</v>
      </c>
      <c r="I6" s="171" t="s">
        <v>12</v>
      </c>
      <c r="J6" s="405"/>
    </row>
    <row r="7" spans="1:12" ht="15" customHeight="1" x14ac:dyDescent="0.2">
      <c r="A7" s="169" t="s">
        <v>231</v>
      </c>
      <c r="B7" s="403" t="s">
        <v>230</v>
      </c>
      <c r="C7" s="403"/>
      <c r="D7" s="403"/>
      <c r="E7" s="403"/>
      <c r="F7" s="403"/>
      <c r="G7" s="403"/>
      <c r="H7" s="403"/>
      <c r="I7" s="403"/>
      <c r="J7" s="403"/>
    </row>
    <row r="8" spans="1:12" x14ac:dyDescent="0.2">
      <c r="A8" s="25" t="s">
        <v>13</v>
      </c>
      <c r="B8" s="301" t="s">
        <v>14</v>
      </c>
      <c r="C8" s="301"/>
      <c r="D8" s="301"/>
      <c r="E8" s="301"/>
      <c r="F8" s="301"/>
      <c r="G8" s="301"/>
      <c r="H8" s="301"/>
      <c r="I8" s="301"/>
      <c r="J8" s="301"/>
      <c r="L8" s="3">
        <v>1.0640000000000001</v>
      </c>
    </row>
    <row r="9" spans="1:12" x14ac:dyDescent="0.2">
      <c r="A9" s="220" t="s">
        <v>39</v>
      </c>
      <c r="B9" s="221" t="s">
        <v>40</v>
      </c>
      <c r="C9" s="218" t="s">
        <v>53</v>
      </c>
      <c r="D9" s="218" t="s">
        <v>214</v>
      </c>
      <c r="E9" s="219">
        <v>14.63</v>
      </c>
      <c r="F9" s="209">
        <v>15.44</v>
      </c>
      <c r="G9" s="209">
        <v>14.74</v>
      </c>
      <c r="H9" s="208"/>
      <c r="I9" s="77"/>
      <c r="J9" s="218" t="s">
        <v>54</v>
      </c>
    </row>
    <row r="10" spans="1:12" ht="25.5" x14ac:dyDescent="0.2">
      <c r="A10" s="220" t="s">
        <v>42</v>
      </c>
      <c r="B10" s="221" t="s">
        <v>43</v>
      </c>
      <c r="C10" s="218" t="s">
        <v>53</v>
      </c>
      <c r="D10" s="218" t="s">
        <v>214</v>
      </c>
      <c r="E10" s="219">
        <v>14.63</v>
      </c>
      <c r="F10" s="209">
        <v>15.44</v>
      </c>
      <c r="G10" s="209">
        <v>14.74</v>
      </c>
      <c r="H10" s="208"/>
      <c r="I10" s="77"/>
      <c r="J10" s="218" t="s">
        <v>54</v>
      </c>
    </row>
    <row r="11" spans="1:12" x14ac:dyDescent="0.2">
      <c r="A11" s="404" t="s">
        <v>27</v>
      </c>
      <c r="B11" s="363" t="s">
        <v>52</v>
      </c>
      <c r="C11" s="218" t="s">
        <v>245</v>
      </c>
      <c r="D11" s="218" t="s">
        <v>213</v>
      </c>
      <c r="E11" s="219">
        <v>14.63</v>
      </c>
      <c r="F11" s="209">
        <v>15.44</v>
      </c>
      <c r="G11" s="209">
        <v>14.74</v>
      </c>
      <c r="H11" s="208"/>
      <c r="I11" s="77"/>
      <c r="J11" s="218" t="s">
        <v>54</v>
      </c>
    </row>
    <row r="12" spans="1:12" ht="38.25" x14ac:dyDescent="0.2">
      <c r="A12" s="404"/>
      <c r="B12" s="363"/>
      <c r="C12" s="218" t="s">
        <v>246</v>
      </c>
      <c r="D12" s="218" t="s">
        <v>138</v>
      </c>
      <c r="E12" s="219">
        <v>14.63</v>
      </c>
      <c r="F12" s="209">
        <v>15.44</v>
      </c>
      <c r="G12" s="209">
        <v>14.74</v>
      </c>
      <c r="H12" s="208">
        <v>12.85</v>
      </c>
      <c r="I12" s="77"/>
      <c r="J12" s="218" t="s">
        <v>54</v>
      </c>
    </row>
    <row r="13" spans="1:12" x14ac:dyDescent="0.2">
      <c r="A13" s="404"/>
      <c r="B13" s="363"/>
      <c r="C13" s="218" t="s">
        <v>55</v>
      </c>
      <c r="D13" s="218" t="s">
        <v>138</v>
      </c>
      <c r="E13" s="219">
        <v>11.7</v>
      </c>
      <c r="F13" s="209">
        <v>12.350000000000001</v>
      </c>
      <c r="G13" s="209">
        <v>11.79</v>
      </c>
      <c r="H13" s="208">
        <v>11.79</v>
      </c>
      <c r="I13" s="77"/>
      <c r="J13" s="218" t="s">
        <v>54</v>
      </c>
    </row>
    <row r="14" spans="1:12" x14ac:dyDescent="0.2">
      <c r="A14" s="404" t="s">
        <v>33</v>
      </c>
      <c r="B14" s="363" t="s">
        <v>34</v>
      </c>
      <c r="C14" s="230" t="s">
        <v>245</v>
      </c>
      <c r="D14" s="230" t="s">
        <v>213</v>
      </c>
      <c r="E14" s="231">
        <v>14.63</v>
      </c>
      <c r="F14" s="209">
        <v>15.44</v>
      </c>
      <c r="G14" s="209">
        <v>14.74</v>
      </c>
      <c r="H14" s="208"/>
      <c r="I14" s="77"/>
      <c r="J14" s="230" t="s">
        <v>54</v>
      </c>
    </row>
    <row r="15" spans="1:12" ht="38.25" x14ac:dyDescent="0.2">
      <c r="A15" s="404"/>
      <c r="B15" s="363"/>
      <c r="C15" s="230" t="s">
        <v>246</v>
      </c>
      <c r="D15" s="230" t="s">
        <v>138</v>
      </c>
      <c r="E15" s="231">
        <v>14.63</v>
      </c>
      <c r="F15" s="209">
        <v>15.44</v>
      </c>
      <c r="G15" s="209">
        <v>14.74</v>
      </c>
      <c r="H15" s="208">
        <v>12.85</v>
      </c>
      <c r="I15" s="77"/>
      <c r="J15" s="230" t="s">
        <v>54</v>
      </c>
    </row>
    <row r="16" spans="1:12" x14ac:dyDescent="0.2">
      <c r="A16" s="404"/>
      <c r="B16" s="363"/>
      <c r="C16" s="230" t="s">
        <v>55</v>
      </c>
      <c r="D16" s="230" t="s">
        <v>138</v>
      </c>
      <c r="E16" s="231">
        <v>11.7</v>
      </c>
      <c r="F16" s="209">
        <v>12.350000000000001</v>
      </c>
      <c r="G16" s="209">
        <v>11.79</v>
      </c>
      <c r="H16" s="208">
        <v>11.79</v>
      </c>
      <c r="I16" s="77"/>
      <c r="J16" s="230" t="s">
        <v>54</v>
      </c>
    </row>
    <row r="17" spans="1:11" x14ac:dyDescent="0.2">
      <c r="A17" s="404" t="s">
        <v>24</v>
      </c>
      <c r="B17" s="404" t="s">
        <v>56</v>
      </c>
      <c r="C17" s="230" t="s">
        <v>245</v>
      </c>
      <c r="D17" s="230" t="s">
        <v>213</v>
      </c>
      <c r="E17" s="231">
        <v>14.63</v>
      </c>
      <c r="F17" s="209">
        <v>15.44</v>
      </c>
      <c r="G17" s="209">
        <v>14.74</v>
      </c>
      <c r="H17" s="208"/>
      <c r="I17" s="77"/>
      <c r="J17" s="230" t="s">
        <v>54</v>
      </c>
    </row>
    <row r="18" spans="1:11" ht="38.25" x14ac:dyDescent="0.2">
      <c r="A18" s="404"/>
      <c r="B18" s="404"/>
      <c r="C18" s="230" t="s">
        <v>246</v>
      </c>
      <c r="D18" s="230" t="s">
        <v>138</v>
      </c>
      <c r="E18" s="231">
        <v>14.63</v>
      </c>
      <c r="F18" s="209">
        <v>15.44</v>
      </c>
      <c r="G18" s="209">
        <v>14.74</v>
      </c>
      <c r="H18" s="208">
        <v>12.85</v>
      </c>
      <c r="I18" s="77"/>
      <c r="J18" s="230" t="s">
        <v>54</v>
      </c>
    </row>
    <row r="19" spans="1:11" x14ac:dyDescent="0.2">
      <c r="A19" s="404"/>
      <c r="B19" s="404"/>
      <c r="C19" s="230" t="s">
        <v>55</v>
      </c>
      <c r="D19" s="230" t="s">
        <v>138</v>
      </c>
      <c r="E19" s="231">
        <v>11.7</v>
      </c>
      <c r="F19" s="209">
        <v>12.35</v>
      </c>
      <c r="G19" s="209">
        <v>11.79</v>
      </c>
      <c r="H19" s="208">
        <v>11.8</v>
      </c>
      <c r="I19" s="77"/>
      <c r="J19" s="230" t="s">
        <v>54</v>
      </c>
    </row>
    <row r="20" spans="1:11" x14ac:dyDescent="0.2">
      <c r="A20" s="229" t="s">
        <v>16</v>
      </c>
      <c r="B20" s="301" t="s">
        <v>17</v>
      </c>
      <c r="C20" s="301"/>
      <c r="D20" s="301"/>
      <c r="E20" s="301"/>
      <c r="F20" s="301"/>
      <c r="G20" s="301"/>
      <c r="H20" s="301"/>
      <c r="I20" s="301"/>
      <c r="J20" s="301"/>
    </row>
    <row r="21" spans="1:11" s="217" customFormat="1" x14ac:dyDescent="0.2">
      <c r="A21" s="233" t="s">
        <v>39</v>
      </c>
      <c r="B21" s="234" t="s">
        <v>40</v>
      </c>
      <c r="C21" s="235" t="s">
        <v>53</v>
      </c>
      <c r="D21" s="230" t="s">
        <v>217</v>
      </c>
      <c r="E21" s="231">
        <v>14.63</v>
      </c>
      <c r="F21" s="232">
        <v>15.44</v>
      </c>
      <c r="G21" s="232"/>
      <c r="H21" s="232"/>
      <c r="I21" s="77"/>
      <c r="J21" s="230" t="s">
        <v>54</v>
      </c>
    </row>
    <row r="22" spans="1:11" s="217" customFormat="1" x14ac:dyDescent="0.2">
      <c r="A22" s="404" t="s">
        <v>42</v>
      </c>
      <c r="B22" s="363" t="s">
        <v>43</v>
      </c>
      <c r="C22" s="235" t="s">
        <v>53</v>
      </c>
      <c r="D22" s="230" t="s">
        <v>217</v>
      </c>
      <c r="E22" s="231">
        <v>14.63</v>
      </c>
      <c r="F22" s="232">
        <v>15.44</v>
      </c>
      <c r="G22" s="232"/>
      <c r="H22" s="232"/>
      <c r="I22" s="77"/>
      <c r="J22" s="230" t="s">
        <v>54</v>
      </c>
    </row>
    <row r="23" spans="1:11" s="217" customFormat="1" x14ac:dyDescent="0.2">
      <c r="A23" s="404"/>
      <c r="B23" s="363"/>
      <c r="C23" s="235" t="s">
        <v>55</v>
      </c>
      <c r="D23" s="230" t="s">
        <v>214</v>
      </c>
      <c r="E23" s="231">
        <v>11.7</v>
      </c>
      <c r="F23" s="231">
        <v>12.350000000000001</v>
      </c>
      <c r="G23" s="232">
        <v>11.79</v>
      </c>
      <c r="H23" s="232"/>
      <c r="I23" s="77"/>
      <c r="J23" s="230" t="s">
        <v>54</v>
      </c>
    </row>
    <row r="24" spans="1:11" s="217" customFormat="1" ht="25.5" x14ac:dyDescent="0.2">
      <c r="A24" s="233" t="s">
        <v>24</v>
      </c>
      <c r="B24" s="234" t="s">
        <v>56</v>
      </c>
      <c r="C24" s="230" t="s">
        <v>55</v>
      </c>
      <c r="D24" s="230" t="s">
        <v>216</v>
      </c>
      <c r="E24" s="231">
        <v>11.7</v>
      </c>
      <c r="F24" s="236">
        <v>12.32</v>
      </c>
      <c r="G24" s="232"/>
      <c r="H24" s="232"/>
      <c r="I24" s="77"/>
      <c r="J24" s="230" t="s">
        <v>54</v>
      </c>
    </row>
    <row r="25" spans="1:11" s="217" customFormat="1" x14ac:dyDescent="0.2">
      <c r="A25" s="404" t="s">
        <v>27</v>
      </c>
      <c r="B25" s="363" t="s">
        <v>52</v>
      </c>
      <c r="C25" s="230" t="s">
        <v>245</v>
      </c>
      <c r="D25" s="230" t="s">
        <v>216</v>
      </c>
      <c r="E25" s="231">
        <v>14.63</v>
      </c>
      <c r="F25" s="232">
        <v>15.44</v>
      </c>
      <c r="G25" s="232"/>
      <c r="H25" s="232"/>
      <c r="I25" s="77"/>
      <c r="J25" s="230"/>
    </row>
    <row r="26" spans="1:11" s="217" customFormat="1" ht="38.25" x14ac:dyDescent="0.2">
      <c r="A26" s="404"/>
      <c r="B26" s="363"/>
      <c r="C26" s="230" t="s">
        <v>246</v>
      </c>
      <c r="D26" s="230" t="s">
        <v>218</v>
      </c>
      <c r="E26" s="231">
        <v>14.63</v>
      </c>
      <c r="F26" s="232">
        <v>15.44</v>
      </c>
      <c r="G26" s="231">
        <v>14.74</v>
      </c>
      <c r="H26" s="232"/>
      <c r="I26" s="77"/>
      <c r="J26" s="230"/>
    </row>
    <row r="27" spans="1:11" s="217" customFormat="1" x14ac:dyDescent="0.2">
      <c r="A27" s="404"/>
      <c r="B27" s="363"/>
      <c r="C27" s="235" t="s">
        <v>55</v>
      </c>
      <c r="D27" s="230" t="s">
        <v>218</v>
      </c>
      <c r="E27" s="231">
        <v>11.7</v>
      </c>
      <c r="F27" s="231">
        <v>12.350000000000001</v>
      </c>
      <c r="G27" s="232">
        <v>11.79</v>
      </c>
      <c r="H27" s="232"/>
      <c r="I27" s="77"/>
      <c r="J27" s="230" t="s">
        <v>54</v>
      </c>
    </row>
    <row r="28" spans="1:11" s="217" customFormat="1" x14ac:dyDescent="0.2">
      <c r="A28" s="404" t="s">
        <v>33</v>
      </c>
      <c r="B28" s="363" t="s">
        <v>34</v>
      </c>
      <c r="C28" s="230" t="s">
        <v>245</v>
      </c>
      <c r="D28" s="230" t="s">
        <v>216</v>
      </c>
      <c r="E28" s="231">
        <v>14.63</v>
      </c>
      <c r="F28" s="232">
        <v>15.44</v>
      </c>
      <c r="G28" s="232"/>
      <c r="H28" s="232"/>
      <c r="I28" s="77"/>
      <c r="J28" s="230" t="s">
        <v>54</v>
      </c>
    </row>
    <row r="29" spans="1:11" s="217" customFormat="1" ht="38.25" x14ac:dyDescent="0.2">
      <c r="A29" s="404"/>
      <c r="B29" s="363"/>
      <c r="C29" s="230" t="s">
        <v>246</v>
      </c>
      <c r="D29" s="230" t="s">
        <v>218</v>
      </c>
      <c r="E29" s="231">
        <v>14.63</v>
      </c>
      <c r="F29" s="232">
        <v>15.44</v>
      </c>
      <c r="G29" s="231">
        <v>14.74</v>
      </c>
      <c r="H29" s="232"/>
      <c r="I29" s="77"/>
      <c r="J29" s="230" t="s">
        <v>54</v>
      </c>
    </row>
    <row r="30" spans="1:11" s="217" customFormat="1" x14ac:dyDescent="0.2">
      <c r="A30" s="404"/>
      <c r="B30" s="363"/>
      <c r="C30" s="235" t="s">
        <v>55</v>
      </c>
      <c r="D30" s="230" t="s">
        <v>218</v>
      </c>
      <c r="E30" s="231">
        <v>11.7</v>
      </c>
      <c r="F30" s="231">
        <v>12.350000000000001</v>
      </c>
      <c r="G30" s="232">
        <v>11.79</v>
      </c>
      <c r="H30" s="232"/>
      <c r="I30" s="77"/>
      <c r="J30" s="230" t="s">
        <v>54</v>
      </c>
    </row>
    <row r="31" spans="1:11" s="217" customFormat="1" x14ac:dyDescent="0.2">
      <c r="A31" s="237"/>
      <c r="B31" s="238"/>
      <c r="C31" s="238"/>
      <c r="D31" s="238"/>
      <c r="E31" s="238"/>
      <c r="F31" s="238"/>
      <c r="G31" s="238"/>
      <c r="H31" s="238"/>
      <c r="I31" s="238"/>
      <c r="J31" s="238"/>
      <c r="K31" s="239"/>
    </row>
    <row r="32" spans="1:11" s="217" customFormat="1" x14ac:dyDescent="0.2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9"/>
    </row>
    <row r="33" spans="1:11" s="217" customFormat="1" x14ac:dyDescent="0.2">
      <c r="A33" s="237"/>
      <c r="B33" s="238"/>
      <c r="C33" s="238"/>
      <c r="D33" s="238"/>
      <c r="E33" s="238"/>
      <c r="F33" s="238"/>
      <c r="G33" s="238"/>
      <c r="H33" s="238"/>
      <c r="I33" s="238"/>
      <c r="J33" s="238"/>
      <c r="K33" s="239"/>
    </row>
    <row r="34" spans="1:11" x14ac:dyDescent="0.2">
      <c r="A34" s="240"/>
      <c r="B34" s="241"/>
      <c r="C34" s="239"/>
      <c r="D34" s="239"/>
      <c r="E34" s="242"/>
      <c r="F34" s="243"/>
      <c r="G34" s="243"/>
      <c r="H34" s="243"/>
      <c r="I34" s="243"/>
      <c r="J34" s="239"/>
      <c r="K34" s="239"/>
    </row>
    <row r="35" spans="1:11" x14ac:dyDescent="0.2">
      <c r="A35" s="240"/>
      <c r="B35" s="241"/>
      <c r="C35" s="239"/>
      <c r="D35" s="239"/>
      <c r="E35" s="242"/>
      <c r="F35" s="243"/>
      <c r="G35" s="243"/>
      <c r="H35" s="243"/>
      <c r="I35" s="243"/>
      <c r="J35" s="239"/>
      <c r="K35" s="239"/>
    </row>
  </sheetData>
  <mergeCells count="22">
    <mergeCell ref="B8:J8"/>
    <mergeCell ref="B7:J7"/>
    <mergeCell ref="A17:A19"/>
    <mergeCell ref="B20:J20"/>
    <mergeCell ref="E4:I5"/>
    <mergeCell ref="J4:J6"/>
    <mergeCell ref="A5:A6"/>
    <mergeCell ref="B5:B6"/>
    <mergeCell ref="A4:B4"/>
    <mergeCell ref="C4:C6"/>
    <mergeCell ref="D4:D6"/>
    <mergeCell ref="B17:B19"/>
    <mergeCell ref="A11:A13"/>
    <mergeCell ref="B11:B13"/>
    <mergeCell ref="A14:A16"/>
    <mergeCell ref="B14:B16"/>
    <mergeCell ref="A22:A23"/>
    <mergeCell ref="B22:B23"/>
    <mergeCell ref="A25:A27"/>
    <mergeCell ref="B25:B27"/>
    <mergeCell ref="A28:A30"/>
    <mergeCell ref="B28:B30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12" fitToWidth="0" orientation="landscape" useFirstPageNumber="1" r:id="rId1"/>
  <headerFooter>
    <oddHeader>&amp;C&amp;"Times New Roman,обычный"&amp;14&amp;P</oddHead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СПбКТ</vt:lpstr>
      <vt:lpstr>СПбГУТ </vt:lpstr>
      <vt:lpstr>ВК</vt:lpstr>
      <vt:lpstr>АКТ</vt:lpstr>
      <vt:lpstr>СКТ</vt:lpstr>
      <vt:lpstr>АКТ!Заголовки_для_печати</vt:lpstr>
      <vt:lpstr>СКТ!Заголовки_для_печати</vt:lpstr>
      <vt:lpstr>'СПбГУТ '!Заголовки_для_печати</vt:lpstr>
      <vt:lpstr>СПбКТ!Заголовки_для_печати</vt:lpstr>
      <vt:lpstr>АКТ!Область_печати</vt:lpstr>
      <vt:lpstr>ВК!Область_печати</vt:lpstr>
      <vt:lpstr>СКТ!Область_печати</vt:lpstr>
      <vt:lpstr>'СПбГУТ '!Область_печати</vt:lpstr>
      <vt:lpstr>СПбКТ!Область_печати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Александровна Спиридонова</dc:creator>
  <cp:lastModifiedBy>User</cp:lastModifiedBy>
  <cp:lastPrinted>2016-05-25T13:57:58Z</cp:lastPrinted>
  <dcterms:created xsi:type="dcterms:W3CDTF">2014-06-02T12:15:41Z</dcterms:created>
  <dcterms:modified xsi:type="dcterms:W3CDTF">2016-08-18T11:34:29Z</dcterms:modified>
</cp:coreProperties>
</file>